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ÄVL_SVS\ÄVL\ÄVL NB\AZ_Texte\I\41_Info_Psychotherapie\Checklisten\"/>
    </mc:Choice>
  </mc:AlternateContent>
  <xr:revisionPtr revIDLastSave="0" documentId="13_ncr:1_{B918563D-4603-4449-8116-52FD023F6A50}" xr6:coauthVersionLast="47" xr6:coauthVersionMax="47" xr10:uidLastSave="{00000000-0000-0000-0000-000000000000}"/>
  <bookViews>
    <workbookView xWindow="-120" yWindow="-120" windowWidth="33840" windowHeight="18540" activeTab="9" xr2:uid="{00000000-000D-0000-FFFF-FFFF00000000}"/>
  </bookViews>
  <sheets>
    <sheet name="Gutachtenstatistik - Rohdaten" sheetId="12" r:id="rId1"/>
    <sheet name="Erläuterung" sheetId="13" r:id="rId2"/>
    <sheet name="AP Erw" sheetId="6" r:id="rId3"/>
    <sheet name="AP KiJu" sheetId="7" r:id="rId4"/>
    <sheet name="ST Erw" sheetId="14" r:id="rId5"/>
    <sheet name="ST KiJu" sheetId="15" r:id="rId6"/>
    <sheet name="TP Erw" sheetId="8" r:id="rId7"/>
    <sheet name="TP KiJu" sheetId="9" r:id="rId8"/>
    <sheet name="VT Erw" sheetId="10" r:id="rId9"/>
    <sheet name="VT KiJu" sheetId="11" r:id="rId10"/>
  </sheets>
  <definedNames>
    <definedName name="_xlnm._FilterDatabase" localSheetId="0" hidden="1">'Gutachtenstatistik - Rohdaten'!$A$1:$W$1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5" l="1"/>
  <c r="E29" i="15"/>
  <c r="D30" i="15"/>
  <c r="D29" i="15"/>
  <c r="G26" i="15"/>
  <c r="E26" i="15"/>
  <c r="D26" i="15"/>
  <c r="C26" i="15"/>
  <c r="G24" i="15"/>
  <c r="E24" i="15"/>
  <c r="D24" i="15"/>
  <c r="C24" i="15"/>
  <c r="G23" i="15"/>
  <c r="E23" i="15"/>
  <c r="D23" i="15"/>
  <c r="C23" i="15"/>
  <c r="G22" i="15"/>
  <c r="E22" i="15"/>
  <c r="D22" i="15"/>
  <c r="C22" i="15"/>
  <c r="G21" i="15"/>
  <c r="E21" i="15"/>
  <c r="D21" i="15"/>
  <c r="C21" i="15"/>
  <c r="G18" i="15"/>
  <c r="E18" i="15"/>
  <c r="D18" i="15"/>
  <c r="C18" i="15"/>
  <c r="G17" i="15"/>
  <c r="E17" i="15"/>
  <c r="D17" i="15"/>
  <c r="C17" i="15"/>
  <c r="G16" i="15"/>
  <c r="E16" i="15"/>
  <c r="D16" i="15"/>
  <c r="C16" i="15"/>
  <c r="G15" i="15"/>
  <c r="E15" i="15"/>
  <c r="D15" i="15"/>
  <c r="C15" i="15"/>
  <c r="G14" i="15"/>
  <c r="E14" i="15"/>
  <c r="D14" i="15"/>
  <c r="C14" i="15"/>
  <c r="G13" i="15"/>
  <c r="E13" i="15"/>
  <c r="D13" i="15"/>
  <c r="C13" i="15"/>
  <c r="G10" i="15"/>
  <c r="E10" i="15"/>
  <c r="D10" i="15"/>
  <c r="C10" i="15"/>
  <c r="E30" i="11"/>
  <c r="E29" i="11"/>
  <c r="D30" i="11"/>
  <c r="D29" i="11"/>
  <c r="E30" i="10"/>
  <c r="E29" i="10"/>
  <c r="D30" i="10"/>
  <c r="D29" i="10"/>
  <c r="E30" i="9"/>
  <c r="E29" i="9"/>
  <c r="D30" i="9"/>
  <c r="D29" i="9"/>
  <c r="E30" i="8"/>
  <c r="E29" i="8"/>
  <c r="D30" i="8"/>
  <c r="D29" i="8"/>
  <c r="E30" i="14"/>
  <c r="E29" i="14"/>
  <c r="D30" i="14"/>
  <c r="D29" i="14"/>
  <c r="E30" i="6"/>
  <c r="E29" i="6"/>
  <c r="D30" i="6"/>
  <c r="D29" i="6"/>
  <c r="D29" i="7"/>
  <c r="D30" i="7"/>
  <c r="E30" i="7"/>
  <c r="E29" i="7"/>
  <c r="G29" i="15" l="1"/>
  <c r="H30" i="15"/>
  <c r="H29" i="15"/>
  <c r="H26" i="15"/>
  <c r="H24" i="15"/>
  <c r="H23" i="15"/>
  <c r="H22" i="15"/>
  <c r="G25" i="15"/>
  <c r="E25" i="15"/>
  <c r="D25" i="15"/>
  <c r="C25" i="15"/>
  <c r="H21" i="15"/>
  <c r="H18" i="15"/>
  <c r="H17" i="15"/>
  <c r="H16" i="15"/>
  <c r="H15" i="15"/>
  <c r="H14" i="15"/>
  <c r="H13" i="15"/>
  <c r="D19" i="15"/>
  <c r="H10" i="15"/>
  <c r="E19" i="15"/>
  <c r="G19" i="15"/>
  <c r="G30" i="15"/>
  <c r="C19" i="15"/>
  <c r="H29" i="7"/>
  <c r="H30" i="7"/>
  <c r="H29" i="6"/>
  <c r="H30" i="6"/>
  <c r="H30" i="11"/>
  <c r="H29" i="11"/>
  <c r="H30" i="10"/>
  <c r="H29" i="10"/>
  <c r="H30" i="9"/>
  <c r="H29" i="9"/>
  <c r="G30" i="9"/>
  <c r="G29" i="9"/>
  <c r="H30" i="8"/>
  <c r="H29" i="8"/>
  <c r="G30" i="8"/>
  <c r="G29" i="8"/>
  <c r="H30" i="14"/>
  <c r="H29" i="14"/>
  <c r="G30" i="14"/>
  <c r="G29" i="14"/>
  <c r="G30" i="6"/>
  <c r="G30" i="11"/>
  <c r="G29" i="11"/>
  <c r="G29" i="10"/>
  <c r="G30" i="10"/>
  <c r="G29" i="6"/>
  <c r="G30" i="7"/>
  <c r="G29" i="7"/>
  <c r="C10" i="6"/>
  <c r="G26" i="14" l="1"/>
  <c r="E26" i="14"/>
  <c r="D26" i="14"/>
  <c r="C26" i="14"/>
  <c r="G24" i="14"/>
  <c r="E24" i="14"/>
  <c r="D24" i="14"/>
  <c r="C24" i="14"/>
  <c r="G23" i="14"/>
  <c r="E23" i="14"/>
  <c r="D23" i="14"/>
  <c r="C23" i="14"/>
  <c r="G22" i="14"/>
  <c r="E22" i="14"/>
  <c r="D22" i="14"/>
  <c r="C22" i="14"/>
  <c r="G21" i="14"/>
  <c r="E21" i="14"/>
  <c r="D21" i="14"/>
  <c r="C21" i="14"/>
  <c r="G18" i="14"/>
  <c r="E18" i="14"/>
  <c r="D18" i="14"/>
  <c r="C18" i="14"/>
  <c r="G17" i="14"/>
  <c r="E17" i="14"/>
  <c r="D17" i="14"/>
  <c r="C17" i="14"/>
  <c r="G16" i="14"/>
  <c r="E16" i="14"/>
  <c r="D16" i="14"/>
  <c r="C16" i="14"/>
  <c r="G15" i="14"/>
  <c r="E15" i="14"/>
  <c r="D15" i="14"/>
  <c r="C15" i="14"/>
  <c r="G14" i="14"/>
  <c r="E14" i="14"/>
  <c r="D14" i="14"/>
  <c r="C14" i="14"/>
  <c r="G13" i="14"/>
  <c r="E13" i="14"/>
  <c r="D13" i="14"/>
  <c r="C13" i="14"/>
  <c r="G10" i="14"/>
  <c r="E10" i="14"/>
  <c r="D10" i="14"/>
  <c r="C10" i="14"/>
  <c r="C25" i="14" l="1"/>
  <c r="D25" i="14"/>
  <c r="E25" i="14"/>
  <c r="H10" i="14"/>
  <c r="H15" i="14"/>
  <c r="H17" i="14"/>
  <c r="H22" i="14"/>
  <c r="H26" i="14"/>
  <c r="H13" i="14"/>
  <c r="H16" i="14"/>
  <c r="H21" i="14"/>
  <c r="H24" i="14"/>
  <c r="H14" i="14"/>
  <c r="H18" i="14"/>
  <c r="H23" i="14"/>
  <c r="G19" i="14"/>
  <c r="G25" i="14"/>
  <c r="C19" i="14"/>
  <c r="D19" i="14"/>
  <c r="E19" i="14"/>
  <c r="E24" i="11" l="1"/>
  <c r="E23" i="11"/>
  <c r="E22" i="11"/>
  <c r="E21" i="11"/>
  <c r="E18" i="11"/>
  <c r="E17" i="11"/>
  <c r="E16" i="11"/>
  <c r="E15" i="11"/>
  <c r="E14" i="11"/>
  <c r="E13" i="11"/>
  <c r="D24" i="11"/>
  <c r="D23" i="11"/>
  <c r="D22" i="11"/>
  <c r="D21" i="11"/>
  <c r="D18" i="11"/>
  <c r="D17" i="11"/>
  <c r="D16" i="11"/>
  <c r="D15" i="11"/>
  <c r="D14" i="11"/>
  <c r="D13" i="11"/>
  <c r="C24" i="11"/>
  <c r="C23" i="11"/>
  <c r="C22" i="11"/>
  <c r="C21" i="11"/>
  <c r="C18" i="11"/>
  <c r="C17" i="11"/>
  <c r="C16" i="11"/>
  <c r="C15" i="11"/>
  <c r="C14" i="11"/>
  <c r="C13" i="11"/>
  <c r="E10" i="11"/>
  <c r="D10" i="11"/>
  <c r="C10" i="11"/>
  <c r="E24" i="10"/>
  <c r="E23" i="10"/>
  <c r="E22" i="10"/>
  <c r="E21" i="10"/>
  <c r="E18" i="10"/>
  <c r="E17" i="10"/>
  <c r="E16" i="10"/>
  <c r="E15" i="10"/>
  <c r="E14" i="10"/>
  <c r="E13" i="10"/>
  <c r="D24" i="10"/>
  <c r="D23" i="10"/>
  <c r="D22" i="10"/>
  <c r="D21" i="10"/>
  <c r="D18" i="10"/>
  <c r="D17" i="10"/>
  <c r="D16" i="10"/>
  <c r="D15" i="10"/>
  <c r="D14" i="10"/>
  <c r="D13" i="10"/>
  <c r="C24" i="10"/>
  <c r="C23" i="10"/>
  <c r="C22" i="10"/>
  <c r="C21" i="10"/>
  <c r="C18" i="10"/>
  <c r="C17" i="10"/>
  <c r="C16" i="10"/>
  <c r="C15" i="10"/>
  <c r="C14" i="10"/>
  <c r="C13" i="10"/>
  <c r="E10" i="10"/>
  <c r="D10" i="10"/>
  <c r="C10" i="10"/>
  <c r="E10" i="9"/>
  <c r="G24" i="11"/>
  <c r="G23" i="11"/>
  <c r="G22" i="11"/>
  <c r="G21" i="11"/>
  <c r="G18" i="11"/>
  <c r="G17" i="11"/>
  <c r="G16" i="11"/>
  <c r="G15" i="11"/>
  <c r="G14" i="11"/>
  <c r="G13" i="11"/>
  <c r="G10" i="11"/>
  <c r="G24" i="10"/>
  <c r="G23" i="10"/>
  <c r="G22" i="10"/>
  <c r="G21" i="10"/>
  <c r="G18" i="10"/>
  <c r="G17" i="10"/>
  <c r="G16" i="10"/>
  <c r="G15" i="10"/>
  <c r="G14" i="10"/>
  <c r="G13" i="10"/>
  <c r="G10" i="10"/>
  <c r="G24" i="9"/>
  <c r="G23" i="9"/>
  <c r="G22" i="9"/>
  <c r="G21" i="9"/>
  <c r="G18" i="9"/>
  <c r="G17" i="9"/>
  <c r="G16" i="9"/>
  <c r="G15" i="9"/>
  <c r="G14" i="9"/>
  <c r="G13" i="9"/>
  <c r="G10" i="9"/>
  <c r="E24" i="9"/>
  <c r="E23" i="9"/>
  <c r="E22" i="9"/>
  <c r="E21" i="9"/>
  <c r="E18" i="9"/>
  <c r="E17" i="9"/>
  <c r="E16" i="9"/>
  <c r="E15" i="9"/>
  <c r="E14" i="9"/>
  <c r="E13" i="9"/>
  <c r="D24" i="9"/>
  <c r="D23" i="9"/>
  <c r="D22" i="9"/>
  <c r="D21" i="9"/>
  <c r="D18" i="9"/>
  <c r="D17" i="9"/>
  <c r="D16" i="9"/>
  <c r="D15" i="9"/>
  <c r="D14" i="9"/>
  <c r="D13" i="9"/>
  <c r="C24" i="9"/>
  <c r="C23" i="9"/>
  <c r="C22" i="9"/>
  <c r="C21" i="9"/>
  <c r="C18" i="9"/>
  <c r="C17" i="9"/>
  <c r="C16" i="9"/>
  <c r="C15" i="9"/>
  <c r="C14" i="9"/>
  <c r="C13" i="9"/>
  <c r="D10" i="9"/>
  <c r="C10" i="9"/>
  <c r="C18" i="7"/>
  <c r="E24" i="8"/>
  <c r="E23" i="8"/>
  <c r="E22" i="8"/>
  <c r="E21" i="8"/>
  <c r="E18" i="8"/>
  <c r="E17" i="8"/>
  <c r="E16" i="8"/>
  <c r="E15" i="8"/>
  <c r="E14" i="8"/>
  <c r="E13" i="8"/>
  <c r="D24" i="8"/>
  <c r="D23" i="8"/>
  <c r="D22" i="8"/>
  <c r="D21" i="8"/>
  <c r="D18" i="8"/>
  <c r="D17" i="8"/>
  <c r="D16" i="8"/>
  <c r="D15" i="8"/>
  <c r="D14" i="8"/>
  <c r="D13" i="8"/>
  <c r="C24" i="8"/>
  <c r="C23" i="8"/>
  <c r="C22" i="8"/>
  <c r="C21" i="8"/>
  <c r="C18" i="8"/>
  <c r="C17" i="8"/>
  <c r="C16" i="8"/>
  <c r="C15" i="8"/>
  <c r="C14" i="8"/>
  <c r="C13" i="8"/>
  <c r="E10" i="8"/>
  <c r="D10" i="8"/>
  <c r="C10" i="8"/>
  <c r="G24" i="8"/>
  <c r="G23" i="8"/>
  <c r="G22" i="8"/>
  <c r="G21" i="8"/>
  <c r="G18" i="8"/>
  <c r="G17" i="8"/>
  <c r="G16" i="8"/>
  <c r="G15" i="8"/>
  <c r="G14" i="8"/>
  <c r="G13" i="8"/>
  <c r="G10" i="8"/>
  <c r="G24" i="7"/>
  <c r="G23" i="7"/>
  <c r="G22" i="7"/>
  <c r="G21" i="7"/>
  <c r="G18" i="7"/>
  <c r="G17" i="7"/>
  <c r="G16" i="7"/>
  <c r="G15" i="7"/>
  <c r="G14" i="7"/>
  <c r="G13" i="7"/>
  <c r="G10" i="7"/>
  <c r="E10" i="7"/>
  <c r="E24" i="7"/>
  <c r="E23" i="7"/>
  <c r="E22" i="7"/>
  <c r="E21" i="7"/>
  <c r="D24" i="7"/>
  <c r="D23" i="7"/>
  <c r="D22" i="7"/>
  <c r="D21" i="7"/>
  <c r="C24" i="7"/>
  <c r="C23" i="7"/>
  <c r="C22" i="7"/>
  <c r="C21" i="7"/>
  <c r="E18" i="7"/>
  <c r="E17" i="7"/>
  <c r="E16" i="7"/>
  <c r="E15" i="7"/>
  <c r="E14" i="7"/>
  <c r="E13" i="7"/>
  <c r="D18" i="7"/>
  <c r="D17" i="7"/>
  <c r="D16" i="7"/>
  <c r="D15" i="7"/>
  <c r="D14" i="7"/>
  <c r="D13" i="7"/>
  <c r="C17" i="7"/>
  <c r="C16" i="7"/>
  <c r="C15" i="7"/>
  <c r="C14" i="7"/>
  <c r="C13" i="7"/>
  <c r="D10" i="7"/>
  <c r="C10" i="7"/>
  <c r="E24" i="6"/>
  <c r="E23" i="6"/>
  <c r="E22" i="6"/>
  <c r="E21" i="6"/>
  <c r="D24" i="6"/>
  <c r="D23" i="6"/>
  <c r="D22" i="6"/>
  <c r="D21" i="6"/>
  <c r="C24" i="6"/>
  <c r="C23" i="6"/>
  <c r="C22" i="6"/>
  <c r="C21" i="6"/>
  <c r="C13" i="6"/>
  <c r="D17" i="6"/>
  <c r="G24" i="6"/>
  <c r="G23" i="6"/>
  <c r="G22" i="6"/>
  <c r="G21" i="6"/>
  <c r="G18" i="6"/>
  <c r="G17" i="6"/>
  <c r="G16" i="6"/>
  <c r="G15" i="6"/>
  <c r="G14" i="6"/>
  <c r="E18" i="6"/>
  <c r="E17" i="6"/>
  <c r="E16" i="6"/>
  <c r="E15" i="6"/>
  <c r="E14" i="6"/>
  <c r="D18" i="6"/>
  <c r="D16" i="6"/>
  <c r="D15" i="6"/>
  <c r="D14" i="6"/>
  <c r="C18" i="6"/>
  <c r="C17" i="6"/>
  <c r="C16" i="6"/>
  <c r="C15" i="6"/>
  <c r="C14" i="6"/>
  <c r="G13" i="6"/>
  <c r="E13" i="6"/>
  <c r="D13" i="6"/>
  <c r="G10" i="6"/>
  <c r="E10" i="6"/>
  <c r="D10" i="6"/>
  <c r="C26" i="6"/>
  <c r="C25" i="6" l="1"/>
  <c r="C19" i="6"/>
  <c r="D19" i="11"/>
  <c r="E26" i="11" l="1"/>
  <c r="D26" i="11"/>
  <c r="C26" i="11"/>
  <c r="E26" i="9"/>
  <c r="D26" i="9"/>
  <c r="C26" i="9"/>
  <c r="C26" i="7"/>
  <c r="G26" i="9"/>
  <c r="G26" i="11"/>
  <c r="G26" i="7"/>
  <c r="G26" i="10"/>
  <c r="G26" i="8"/>
  <c r="G26" i="6"/>
  <c r="E26" i="10"/>
  <c r="D26" i="10"/>
  <c r="C26" i="10"/>
  <c r="E26" i="8"/>
  <c r="D26" i="8"/>
  <c r="C26" i="8"/>
  <c r="E26" i="7"/>
  <c r="D26" i="7"/>
  <c r="E26" i="6"/>
  <c r="D26" i="6"/>
  <c r="H26" i="11" l="1"/>
  <c r="E25" i="11"/>
  <c r="D25" i="11"/>
  <c r="C25" i="11"/>
  <c r="H24" i="11"/>
  <c r="H23" i="11"/>
  <c r="H22" i="11"/>
  <c r="H21" i="11"/>
  <c r="E19" i="11"/>
  <c r="C19" i="11"/>
  <c r="H18" i="11"/>
  <c r="H17" i="11"/>
  <c r="H16" i="11"/>
  <c r="H15" i="11"/>
  <c r="H14" i="11"/>
  <c r="H13" i="11"/>
  <c r="G25" i="11"/>
  <c r="H10" i="11" l="1"/>
  <c r="G19" i="11"/>
  <c r="H26" i="10"/>
  <c r="E25" i="10"/>
  <c r="D25" i="10"/>
  <c r="C25" i="10"/>
  <c r="H24" i="10"/>
  <c r="H23" i="10"/>
  <c r="H22" i="10"/>
  <c r="H21" i="10"/>
  <c r="E19" i="10"/>
  <c r="D19" i="10"/>
  <c r="C19" i="10"/>
  <c r="H18" i="10"/>
  <c r="H17" i="10"/>
  <c r="H16" i="10"/>
  <c r="H15" i="10"/>
  <c r="H14" i="10"/>
  <c r="H13" i="10"/>
  <c r="G25" i="10"/>
  <c r="H10" i="10" l="1"/>
  <c r="G19" i="10"/>
  <c r="H26" i="9" l="1"/>
  <c r="G25" i="9"/>
  <c r="E25" i="9"/>
  <c r="D25" i="9"/>
  <c r="C25" i="9"/>
  <c r="H24" i="9"/>
  <c r="H23" i="9"/>
  <c r="H22" i="9"/>
  <c r="H21" i="9"/>
  <c r="G19" i="9"/>
  <c r="E19" i="9"/>
  <c r="D19" i="9"/>
  <c r="C19" i="9"/>
  <c r="H18" i="9"/>
  <c r="H17" i="9"/>
  <c r="H16" i="9"/>
  <c r="H15" i="9"/>
  <c r="H14" i="9"/>
  <c r="H13" i="9"/>
  <c r="H10" i="9"/>
  <c r="H26" i="8" l="1"/>
  <c r="E25" i="8"/>
  <c r="D25" i="8"/>
  <c r="C25" i="8"/>
  <c r="H24" i="8"/>
  <c r="H23" i="8"/>
  <c r="H22" i="8"/>
  <c r="H21" i="8"/>
  <c r="E19" i="8"/>
  <c r="D19" i="8"/>
  <c r="C19" i="8"/>
  <c r="H18" i="8"/>
  <c r="H17" i="8"/>
  <c r="H16" i="8"/>
  <c r="H15" i="8"/>
  <c r="H14" i="8"/>
  <c r="H13" i="8"/>
  <c r="G25" i="8"/>
  <c r="H10" i="8" l="1"/>
  <c r="G19" i="8"/>
  <c r="H26" i="7" l="1"/>
  <c r="E25" i="7"/>
  <c r="D25" i="7"/>
  <c r="C25" i="7"/>
  <c r="H24" i="7"/>
  <c r="H23" i="7"/>
  <c r="H22" i="7"/>
  <c r="H21" i="7"/>
  <c r="E19" i="7"/>
  <c r="D19" i="7"/>
  <c r="C19" i="7"/>
  <c r="H18" i="7"/>
  <c r="H17" i="7"/>
  <c r="H16" i="7"/>
  <c r="H15" i="7"/>
  <c r="H14" i="7"/>
  <c r="H13" i="7"/>
  <c r="G25" i="7"/>
  <c r="H10" i="7" l="1"/>
  <c r="G19" i="7"/>
  <c r="H26" i="6"/>
  <c r="H22" i="6"/>
  <c r="H23" i="6"/>
  <c r="H24" i="6"/>
  <c r="E19" i="6"/>
  <c r="D19" i="6"/>
  <c r="E25" i="6"/>
  <c r="D25" i="6"/>
  <c r="G19" i="6" l="1"/>
  <c r="G25" i="6"/>
  <c r="H10" i="6"/>
  <c r="H21" i="6"/>
  <c r="H13" i="6"/>
  <c r="H14" i="6"/>
  <c r="H15" i="6"/>
  <c r="H16" i="6"/>
  <c r="H17" i="6"/>
  <c r="H18" i="6"/>
</calcChain>
</file>

<file path=xl/sharedStrings.xml><?xml version="1.0" encoding="utf-8"?>
<sst xmlns="http://schemas.openxmlformats.org/spreadsheetml/2006/main" count="413" uniqueCount="132">
  <si>
    <t>Kurzzeittherapie 1</t>
  </si>
  <si>
    <t>Langzeittherapie als Erstantrag</t>
  </si>
  <si>
    <t>Langzeittherapie als Umwandlungsantrag</t>
  </si>
  <si>
    <t>Langzeittherapie als Fortführungsantrag</t>
  </si>
  <si>
    <t>ausschließlich Einzeltherapie</t>
  </si>
  <si>
    <t>ausschließlich Gruppentherapie</t>
  </si>
  <si>
    <t>Kombinationsbehandlung mit überwiegend Einzeltherapie</t>
  </si>
  <si>
    <t>Kombinationsbehandlung mit überwiegend Gruppentherapie</t>
  </si>
  <si>
    <t>Summenprüfung Spalten (Gesamtsummen):</t>
  </si>
  <si>
    <t>Kurzzeittherapie 2</t>
  </si>
  <si>
    <t>1. Aufschlüsselung nach Antragsart (gemäß PTV 2)</t>
  </si>
  <si>
    <t>2. Aufschlüsselung nach Anwendungsform (gemäß PTV 2)</t>
  </si>
  <si>
    <t>Nachname</t>
  </si>
  <si>
    <t>Vorname</t>
  </si>
  <si>
    <t>Gutachter-ID</t>
  </si>
  <si>
    <t>Anmerkungen</t>
  </si>
  <si>
    <t>Anzahl Befürwortungen</t>
  </si>
  <si>
    <t>Anzahl Teil-Befürwortungen</t>
  </si>
  <si>
    <t>Anzahl Nicht-Befürwortungen</t>
  </si>
  <si>
    <t>Gesamtanzahl Gutachten</t>
  </si>
  <si>
    <t>E-Mail-Adresse</t>
  </si>
  <si>
    <t>Psychotherapieverfahren</t>
  </si>
  <si>
    <t>Gesamtanzahl Gutachtenaufträge</t>
  </si>
  <si>
    <t>Analytische Psychotherapie für Erwachsene (AP Erw)</t>
  </si>
  <si>
    <t>Analytische Psychotherapie für Kinder und Jugendliche (AP KiJu)</t>
  </si>
  <si>
    <t>Tiefenpsychologisch fundierte Psychotherapie für Erwachsene (TP Erw)</t>
  </si>
  <si>
    <t>Tiefenpsychologisch fundierte Psychotherapie für Kinder und Jugendliche (TP KiJu)</t>
  </si>
  <si>
    <t>Verhaltenstherapie für Erwachsene (VT Erw)</t>
  </si>
  <si>
    <t>Verhaltenstherapie für Kinder und Jugendliche (VT KiJu)</t>
  </si>
  <si>
    <t>Fortführungsantrag über der Höchstgrenze (&gt; 80 TE)</t>
  </si>
  <si>
    <t>Fortführungsantrag über der Höchstgrenze (&gt; 300/150 TE)</t>
  </si>
  <si>
    <t>Fortführungsantrag über der Höchstgrenze</t>
  </si>
  <si>
    <t>Fortführungsantrag über der Höchstgrenze (&gt; 100/80 TE)</t>
  </si>
  <si>
    <r>
      <t xml:space="preserve">INTERN: </t>
    </r>
    <r>
      <rPr>
        <sz val="11"/>
        <color theme="1"/>
        <rFont val="Calibri"/>
        <family val="2"/>
        <scheme val="minor"/>
      </rPr>
      <t>Chiffre</t>
    </r>
  </si>
  <si>
    <r>
      <t>INTERN:</t>
    </r>
    <r>
      <rPr>
        <sz val="11"/>
        <color theme="1"/>
        <rFont val="Calibri"/>
        <family val="2"/>
        <scheme val="minor"/>
      </rPr>
      <t xml:space="preserve"> Bearbeitungsnummer der Krankenkasse</t>
    </r>
  </si>
  <si>
    <r>
      <t>INTERN:</t>
    </r>
    <r>
      <rPr>
        <sz val="11"/>
        <color theme="1"/>
        <rFont val="Calibri"/>
        <family val="2"/>
        <scheme val="minor"/>
      </rPr>
      <t xml:space="preserve"> Auftraggeber/ Krankenkasse</t>
    </r>
  </si>
  <si>
    <r>
      <t xml:space="preserve">INTERN: </t>
    </r>
    <r>
      <rPr>
        <sz val="11"/>
        <color theme="1"/>
        <rFont val="Calibri"/>
        <family val="2"/>
        <scheme val="minor"/>
      </rPr>
      <t>Bericht vom (Datum)</t>
    </r>
  </si>
  <si>
    <r>
      <t xml:space="preserve">INTERN: </t>
    </r>
    <r>
      <rPr>
        <sz val="11"/>
        <color theme="1"/>
        <rFont val="Calibri"/>
        <family val="2"/>
        <scheme val="minor"/>
      </rPr>
      <t>Eingangsdatum bei der Krankenkasse (Datum)</t>
    </r>
  </si>
  <si>
    <r>
      <t xml:space="preserve">INTERN: </t>
    </r>
    <r>
      <rPr>
        <sz val="11"/>
        <color theme="1"/>
        <rFont val="Calibri"/>
        <family val="2"/>
        <scheme val="minor"/>
      </rPr>
      <t>Beim Gutachter eingetroffen am (Datum)</t>
    </r>
  </si>
  <si>
    <r>
      <t xml:space="preserve">INTERN: </t>
    </r>
    <r>
      <rPr>
        <sz val="11"/>
        <color theme="1"/>
        <rFont val="Calibri"/>
        <family val="2"/>
        <scheme val="minor"/>
      </rPr>
      <t>Rücksendung an Krankenkasse und Therapeut (Datum)</t>
    </r>
  </si>
  <si>
    <r>
      <t>INTERN:</t>
    </r>
    <r>
      <rPr>
        <sz val="11"/>
        <color theme="1"/>
        <rFont val="Calibri"/>
        <family val="2"/>
        <scheme val="minor"/>
      </rPr>
      <t xml:space="preserve"> Kürzbegründung (Fehlen von Voraussetzungen hauptsächlich durch?)</t>
    </r>
  </si>
  <si>
    <r>
      <t>INTERN:</t>
    </r>
    <r>
      <rPr>
        <sz val="11"/>
        <color theme="1"/>
        <rFont val="Calibri"/>
        <family val="2"/>
        <scheme val="minor"/>
      </rPr>
      <t xml:space="preserve"> Frequenz?</t>
    </r>
  </si>
  <si>
    <r>
      <t>INTERN:</t>
    </r>
    <r>
      <rPr>
        <sz val="11"/>
        <color theme="1"/>
        <rFont val="Calibri"/>
        <family val="2"/>
        <scheme val="minor"/>
      </rPr>
      <t xml:space="preserve"> Therapiebeginn (Datum)</t>
    </r>
  </si>
  <si>
    <r>
      <t>INTERN:</t>
    </r>
    <r>
      <rPr>
        <sz val="11"/>
        <color theme="1"/>
        <rFont val="Calibri"/>
        <family val="2"/>
        <scheme val="minor"/>
      </rPr>
      <t xml:space="preserve"> Aufbewahrungsfrist? (Datum)</t>
    </r>
  </si>
  <si>
    <t>Spaltenbezeichnung</t>
  </si>
  <si>
    <t>Angabemöglichkeiten</t>
  </si>
  <si>
    <t>nein</t>
  </si>
  <si>
    <r>
      <t xml:space="preserve">*INTERN: </t>
    </r>
    <r>
      <rPr>
        <sz val="11"/>
        <color theme="1"/>
        <rFont val="Calibri"/>
        <family val="2"/>
        <scheme val="minor"/>
      </rPr>
      <t>Chiffre</t>
    </r>
  </si>
  <si>
    <t>XTTMMJJ</t>
  </si>
  <si>
    <t>bis zu 16-stellige Nummer</t>
  </si>
  <si>
    <t>Freitext</t>
  </si>
  <si>
    <t>TT.MM.JJJJ</t>
  </si>
  <si>
    <t>ja</t>
  </si>
  <si>
    <t>AP=1</t>
  </si>
  <si>
    <t>TP=2</t>
  </si>
  <si>
    <t>VT=3</t>
  </si>
  <si>
    <t>Erw=1</t>
  </si>
  <si>
    <t>KiJu=2</t>
  </si>
  <si>
    <t>Einzel=1</t>
  </si>
  <si>
    <t>Gruppe=2</t>
  </si>
  <si>
    <t>Kombi-Einzel=3</t>
  </si>
  <si>
    <t>Kombi-Gruppe=4</t>
  </si>
  <si>
    <t>KZT1=1</t>
  </si>
  <si>
    <t>KZT2=2</t>
  </si>
  <si>
    <t>LZT Erstantrag=3</t>
  </si>
  <si>
    <t>LZT Umwandlung=4</t>
  </si>
  <si>
    <t>LZT Fortführung=5</t>
  </si>
  <si>
    <t>LZT Fortführung&gt;Höchstgrenze=6</t>
  </si>
  <si>
    <t>ja=1</t>
  </si>
  <si>
    <t>nein=2</t>
  </si>
  <si>
    <t>Befürwortung=1</t>
  </si>
  <si>
    <t>Teil-Befürwortung=2</t>
  </si>
  <si>
    <t>Nicht-Befürwortung=3</t>
  </si>
  <si>
    <t>Numerische Zahl</t>
  </si>
  <si>
    <r>
      <t>INTERN:</t>
    </r>
    <r>
      <rPr>
        <sz val="11"/>
        <color theme="1"/>
        <rFont val="Calibri"/>
        <family val="2"/>
        <scheme val="minor"/>
      </rPr>
      <t xml:space="preserve"> Kürzbegründung (Fehlen von Voraussetzungen hauptsächlich durch?) </t>
    </r>
    <r>
      <rPr>
        <i/>
        <sz val="11"/>
        <color theme="1"/>
        <rFont val="Calibri"/>
        <family val="2"/>
        <scheme val="minor"/>
      </rPr>
      <t>(Angabe in numerischer Zahl)</t>
    </r>
  </si>
  <si>
    <t>Indikation=1</t>
  </si>
  <si>
    <t>Verfahrensbezug=2</t>
  </si>
  <si>
    <t>Umfang=3</t>
  </si>
  <si>
    <t>Prognose=4</t>
  </si>
  <si>
    <t>Patient=5</t>
  </si>
  <si>
    <t>Andere=6</t>
  </si>
  <si>
    <t>Mehrere=7</t>
  </si>
  <si>
    <r>
      <t>INTERN:</t>
    </r>
    <r>
      <rPr>
        <sz val="11"/>
        <color theme="1"/>
        <rFont val="Calibri"/>
        <family val="2"/>
        <scheme val="minor"/>
      </rPr>
      <t xml:space="preserve"> Frequenz? </t>
    </r>
    <r>
      <rPr>
        <i/>
        <sz val="11"/>
        <color theme="1"/>
        <rFont val="Calibri"/>
        <family val="2"/>
        <scheme val="minor"/>
      </rPr>
      <t>(Angabe in numerischer Zahl pro Woche)</t>
    </r>
  </si>
  <si>
    <r>
      <t>INTERN:</t>
    </r>
    <r>
      <rPr>
        <sz val="11"/>
        <color theme="1"/>
        <rFont val="Calibri"/>
        <family val="2"/>
        <scheme val="minor"/>
      </rPr>
      <t xml:space="preserve"> Therapiebeginn</t>
    </r>
  </si>
  <si>
    <r>
      <t>INTERN:</t>
    </r>
    <r>
      <rPr>
        <sz val="11"/>
        <color theme="1"/>
        <rFont val="Calibri"/>
        <family val="2"/>
        <scheme val="minor"/>
      </rPr>
      <t xml:space="preserve"> Aufbewahrungsfrist?</t>
    </r>
  </si>
  <si>
    <t>Kalenderjahr</t>
  </si>
  <si>
    <t>Ergebnismatrix VT KiJu</t>
  </si>
  <si>
    <t>Ergebnismatrix VT Erw</t>
  </si>
  <si>
    <t>Ergebnismatrix TP KiJu</t>
  </si>
  <si>
    <t>Ergebnismatrix TP Erw</t>
  </si>
  <si>
    <t>Ergebnismatrix AP KiJu</t>
  </si>
  <si>
    <t>Ergebnismatrix AP Erw</t>
  </si>
  <si>
    <t>Gesamtanzahl Zweitgutachtenaufträge*</t>
  </si>
  <si>
    <t>Numerische Zahl, es dürfen keine Nullen angegeben werden</t>
  </si>
  <si>
    <t>Ergebnismatrix ST Erw</t>
  </si>
  <si>
    <t>Systemische Therapie für Erwachsene (ST Erw)</t>
  </si>
  <si>
    <t>ST=4</t>
  </si>
  <si>
    <r>
      <rPr>
        <b/>
        <sz val="11"/>
        <color theme="1"/>
        <rFont val="Calibri"/>
        <family val="2"/>
        <scheme val="minor"/>
      </rPr>
      <t xml:space="preserve">*STATISTIK: </t>
    </r>
    <r>
      <rPr>
        <sz val="11"/>
        <color theme="1"/>
        <rFont val="Calibri"/>
        <family val="2"/>
        <scheme val="minor"/>
      </rPr>
      <t>Verfahren (AP=1, TP=2, VT=3 oder ST=4?)</t>
    </r>
  </si>
  <si>
    <t>*Angabe nur, wenn Sie für die Bearbeitung von Zweitgutachten bestellt sind!</t>
  </si>
  <si>
    <r>
      <t>*</t>
    </r>
    <r>
      <rPr>
        <b/>
        <sz val="11"/>
        <rFont val="Calibri"/>
        <family val="2"/>
        <scheme val="minor"/>
      </rPr>
      <t xml:space="preserve">STATISTIK: </t>
    </r>
    <r>
      <rPr>
        <sz val="11"/>
        <rFont val="Calibri"/>
        <family val="2"/>
        <scheme val="minor"/>
      </rPr>
      <t>Verfahren (AP=1, TP=2, VT=3 oder ST=4?)</t>
    </r>
  </si>
  <si>
    <r>
      <t>*</t>
    </r>
    <r>
      <rPr>
        <b/>
        <sz val="11"/>
        <color theme="1"/>
        <rFont val="Calibri"/>
        <family val="2"/>
        <scheme val="minor"/>
      </rPr>
      <t xml:space="preserve">STATISTIK: </t>
    </r>
    <r>
      <rPr>
        <sz val="11"/>
        <color theme="1"/>
        <rFont val="Calibri"/>
        <family val="2"/>
        <scheme val="minor"/>
      </rPr>
      <t>Altersgruppe (Erw=1 oder KiJu=2?)</t>
    </r>
  </si>
  <si>
    <r>
      <t>*</t>
    </r>
    <r>
      <rPr>
        <b/>
        <sz val="11"/>
        <color theme="1"/>
        <rFont val="Calibri"/>
        <family val="2"/>
        <scheme val="minor"/>
      </rPr>
      <t>STATISTIK:</t>
    </r>
    <r>
      <rPr>
        <sz val="11"/>
        <color theme="1"/>
        <rFont val="Calibri"/>
        <family val="2"/>
        <scheme val="minor"/>
      </rPr>
      <t xml:space="preserve"> Setting (Einzel=1, Gruppe=2, Kombi mit überwiegend Einzel=3 oder Kombi mit überwiegend Gruppe=4?)</t>
    </r>
  </si>
  <si>
    <r>
      <t>*</t>
    </r>
    <r>
      <rPr>
        <b/>
        <sz val="11"/>
        <color theme="1"/>
        <rFont val="Calibri"/>
        <family val="2"/>
        <scheme val="minor"/>
      </rPr>
      <t xml:space="preserve">STATISTIK: </t>
    </r>
    <r>
      <rPr>
        <sz val="11"/>
        <color theme="1"/>
        <rFont val="Calibri"/>
        <family val="2"/>
        <scheme val="minor"/>
      </rPr>
      <t>Antragsart Antragsart (KZT1=1, KZT2=2, LZT Erstantrag=3, LZT Umwandlung=4 oder LZT Fortführung=5 oder LZT Fortführung&gt;Höchstgrenze=6?)</t>
    </r>
  </si>
  <si>
    <r>
      <t>*</t>
    </r>
    <r>
      <rPr>
        <b/>
        <sz val="11"/>
        <color theme="1"/>
        <rFont val="Calibri"/>
        <family val="2"/>
        <scheme val="minor"/>
      </rPr>
      <t xml:space="preserve">STATISTIK: </t>
    </r>
    <r>
      <rPr>
        <sz val="11"/>
        <color theme="1"/>
        <rFont val="Calibri"/>
        <family val="2"/>
        <scheme val="minor"/>
      </rPr>
      <t>Zweitgutachtenauftrag? (Zweitgutachtenauftrag=1, kein Zweitgutachten=2)?</t>
    </r>
  </si>
  <si>
    <r>
      <t>*</t>
    </r>
    <r>
      <rPr>
        <b/>
        <sz val="11"/>
        <color theme="1"/>
        <rFont val="Calibri"/>
        <family val="2"/>
        <scheme val="minor"/>
      </rPr>
      <t xml:space="preserve">STATISTIK: </t>
    </r>
    <r>
      <rPr>
        <sz val="11"/>
        <color theme="1"/>
        <rFont val="Calibri"/>
        <family val="2"/>
        <scheme val="minor"/>
      </rPr>
      <t>Gutachterliche Empfehlung? (Befürwortung=1, Teil-Befürwortung=2 oder Nicht-Befürwortung=3?)</t>
    </r>
  </si>
  <si>
    <r>
      <t xml:space="preserve">*STATISTIK: </t>
    </r>
    <r>
      <rPr>
        <sz val="11"/>
        <color theme="1"/>
        <rFont val="Calibri"/>
        <family val="2"/>
        <scheme val="minor"/>
      </rPr>
      <t>Beantragtes Kontingent Bezugspersonen (Anzahl Therapieeinheiten)</t>
    </r>
  </si>
  <si>
    <r>
      <t xml:space="preserve">*STATISTIK: </t>
    </r>
    <r>
      <rPr>
        <sz val="11"/>
        <color theme="1"/>
        <rFont val="Calibri"/>
        <family val="2"/>
        <scheme val="minor"/>
      </rPr>
      <t>Befürwortetes Kontingent Bezugspersonen (Anzahl Therapieeinheiten)</t>
    </r>
  </si>
  <si>
    <r>
      <rPr>
        <b/>
        <sz val="11"/>
        <color theme="1"/>
        <rFont val="Calibri"/>
        <family val="2"/>
        <scheme val="minor"/>
      </rPr>
      <t xml:space="preserve">INTERN: </t>
    </r>
    <r>
      <rPr>
        <sz val="11"/>
        <color theme="1"/>
        <rFont val="Calibri"/>
        <family val="2"/>
        <scheme val="minor"/>
      </rPr>
      <t xml:space="preserve">Zusätzliche Korrespondez(en) Therapeut? </t>
    </r>
    <r>
      <rPr>
        <i/>
        <sz val="11"/>
        <color theme="1"/>
        <rFont val="Calibri"/>
        <family val="2"/>
        <scheme val="minor"/>
      </rPr>
      <t>(Angabe in numerischer Zahl)</t>
    </r>
  </si>
  <si>
    <r>
      <rPr>
        <b/>
        <sz val="11"/>
        <color theme="1"/>
        <rFont val="Calibri"/>
        <family val="2"/>
        <scheme val="minor"/>
      </rPr>
      <t xml:space="preserve">INTERN: </t>
    </r>
    <r>
      <rPr>
        <sz val="11"/>
        <color theme="1"/>
        <rFont val="Calibri"/>
        <family val="2"/>
        <scheme val="minor"/>
      </rPr>
      <t xml:space="preserve">Zusätzliche Korrespondez(en) Krankenkasse? </t>
    </r>
    <r>
      <rPr>
        <i/>
        <sz val="11"/>
        <color theme="1"/>
        <rFont val="Calibri"/>
        <family val="2"/>
        <scheme val="minor"/>
      </rPr>
      <t>(Angabe in numerischer Zahl)</t>
    </r>
  </si>
  <si>
    <r>
      <rPr>
        <b/>
        <sz val="11"/>
        <color theme="1"/>
        <rFont val="Calibri"/>
        <family val="2"/>
        <scheme val="minor"/>
      </rPr>
      <t xml:space="preserve">*STATISTIK: </t>
    </r>
    <r>
      <rPr>
        <sz val="11"/>
        <color theme="1"/>
        <rFont val="Calibri"/>
        <family val="2"/>
        <scheme val="minor"/>
      </rPr>
      <t>Altersgruppe (Erw=1 oder KiJu=2?)</t>
    </r>
  </si>
  <si>
    <r>
      <rPr>
        <b/>
        <sz val="11"/>
        <color theme="1"/>
        <rFont val="Calibri"/>
        <family val="2"/>
        <scheme val="minor"/>
      </rPr>
      <t>*STATISTIK:</t>
    </r>
    <r>
      <rPr>
        <sz val="11"/>
        <color theme="1"/>
        <rFont val="Calibri"/>
        <family val="2"/>
        <scheme val="minor"/>
      </rPr>
      <t xml:space="preserve"> Setting (Einzel=1, Gruppe=2, Kombi mit überwiegend Einzel=3 oder Kombi mit überwiegend Gruppe=4?)</t>
    </r>
  </si>
  <si>
    <r>
      <rPr>
        <b/>
        <sz val="11"/>
        <color theme="1"/>
        <rFont val="Calibri"/>
        <family val="2"/>
        <scheme val="minor"/>
      </rPr>
      <t xml:space="preserve">*STATISTIK: </t>
    </r>
    <r>
      <rPr>
        <sz val="11"/>
        <color theme="1"/>
        <rFont val="Calibri"/>
        <family val="2"/>
        <scheme val="minor"/>
      </rPr>
      <t>Antragsart (KZT1=1, KZT2=2, LZT Erstantrag=3, LZT Umwandlung=4 oder LZT Fortführung=5 oder LZT Fortführung&gt;Höchstgrenze=6?)</t>
    </r>
  </si>
  <si>
    <r>
      <rPr>
        <b/>
        <sz val="11"/>
        <color theme="1"/>
        <rFont val="Calibri"/>
        <family val="2"/>
        <scheme val="minor"/>
      </rPr>
      <t xml:space="preserve">*STATISTIK: </t>
    </r>
    <r>
      <rPr>
        <sz val="11"/>
        <color theme="1"/>
        <rFont val="Calibri"/>
        <family val="2"/>
        <scheme val="minor"/>
      </rPr>
      <t>Zweitgutachtenauftrag=1 (kein Zweitgutachten=2)?</t>
    </r>
  </si>
  <si>
    <r>
      <rPr>
        <b/>
        <sz val="11"/>
        <color theme="1"/>
        <rFont val="Calibri"/>
        <family val="2"/>
        <scheme val="minor"/>
      </rPr>
      <t xml:space="preserve">*STATISTIK: </t>
    </r>
    <r>
      <rPr>
        <sz val="11"/>
        <color theme="1"/>
        <rFont val="Calibri"/>
        <family val="2"/>
        <scheme val="minor"/>
      </rPr>
      <t>Gutachterliche Empfehlung? (Befürwortung=1, Teil-Befürwortung=2 oder Nicht-Befürwortung=3?)</t>
    </r>
  </si>
  <si>
    <r>
      <rPr>
        <b/>
        <sz val="11"/>
        <color theme="1"/>
        <rFont val="Calibri"/>
        <family val="2"/>
        <scheme val="minor"/>
      </rPr>
      <t>*STATISTIK:</t>
    </r>
    <r>
      <rPr>
        <sz val="11"/>
        <color theme="1"/>
        <rFont val="Calibri"/>
        <family val="2"/>
        <scheme val="minor"/>
      </rPr>
      <t xml:space="preserve"> Beantragtes Kontingent Patient (Anzahl Therapieeinheiten)</t>
    </r>
  </si>
  <si>
    <r>
      <rPr>
        <b/>
        <sz val="11"/>
        <color theme="1"/>
        <rFont val="Calibri"/>
        <family val="2"/>
        <scheme val="minor"/>
      </rPr>
      <t xml:space="preserve">*STATISTIK: </t>
    </r>
    <r>
      <rPr>
        <sz val="11"/>
        <color theme="1"/>
        <rFont val="Calibri"/>
        <family val="2"/>
        <scheme val="minor"/>
      </rPr>
      <t>Befürwortetes Kontingent Patient (Anzahl Therapieeinheiten)</t>
    </r>
  </si>
  <si>
    <r>
      <rPr>
        <b/>
        <sz val="11"/>
        <color theme="1"/>
        <rFont val="Calibri"/>
        <family val="2"/>
        <scheme val="minor"/>
      </rPr>
      <t xml:space="preserve">*STATISTIK: </t>
    </r>
    <r>
      <rPr>
        <sz val="11"/>
        <color theme="1"/>
        <rFont val="Calibri"/>
        <family val="2"/>
        <scheme val="minor"/>
      </rPr>
      <t>Beantragtes Kontingent Bezugspersonen (Anzahl Therapieeinheiten)</t>
    </r>
  </si>
  <si>
    <r>
      <rPr>
        <b/>
        <sz val="11"/>
        <color theme="1"/>
        <rFont val="Calibri"/>
        <family val="2"/>
        <scheme val="minor"/>
      </rPr>
      <t xml:space="preserve">*STATISTIK: </t>
    </r>
    <r>
      <rPr>
        <sz val="11"/>
        <color theme="1"/>
        <rFont val="Calibri"/>
        <family val="2"/>
        <scheme val="minor"/>
      </rPr>
      <t>Befürwortetes Kontingent Bezugspersonen (Anzahl Therapieeinheiten)</t>
    </r>
  </si>
  <si>
    <t>Numerische Zahl (nur ganze Zahlen)</t>
  </si>
  <si>
    <t>* Alle Spalten mit der Angabe "INTERN" sind ggf. für Ihre eigenen Erhebungen relevant. Sie können diese nutzen, müssen aber nicht. Spalten mit der Angabe "*STATISTIK" sind für die Erhebung der Gutachterstatistik verpflichtend. Diese Daten müssen für jeden Gutachtenauftrag erhoben werden.</t>
  </si>
  <si>
    <t>Verpflichtend für Erhebung der Statistik am Jahresende?</t>
  </si>
  <si>
    <r>
      <t xml:space="preserve">Gesamtanzahl </t>
    </r>
    <r>
      <rPr>
        <b/>
        <i/>
        <sz val="10"/>
        <color theme="1"/>
        <rFont val="Calibri"/>
        <family val="2"/>
        <scheme val="minor"/>
      </rPr>
      <t xml:space="preserve">beantragter </t>
    </r>
    <r>
      <rPr>
        <i/>
        <sz val="10"/>
        <color theme="1"/>
        <rFont val="Calibri"/>
        <family val="2"/>
        <scheme val="minor"/>
      </rPr>
      <t>TE</t>
    </r>
  </si>
  <si>
    <r>
      <t xml:space="preserve">Gesamtanzahl </t>
    </r>
    <r>
      <rPr>
        <b/>
        <i/>
        <sz val="10"/>
        <color theme="1"/>
        <rFont val="Calibri"/>
        <family val="2"/>
        <scheme val="minor"/>
      </rPr>
      <t>befürworteter</t>
    </r>
    <r>
      <rPr>
        <i/>
        <sz val="10"/>
        <color theme="1"/>
        <rFont val="Calibri"/>
        <family val="2"/>
        <scheme val="minor"/>
      </rPr>
      <t xml:space="preserve"> TE</t>
    </r>
  </si>
  <si>
    <t>3. Aufschlüsselung nach Anzahl der Therapieeinheiten (TE)</t>
  </si>
  <si>
    <r>
      <t xml:space="preserve">*STATISTIK: </t>
    </r>
    <r>
      <rPr>
        <sz val="11"/>
        <color theme="1"/>
        <rFont val="Calibri"/>
        <family val="2"/>
        <scheme val="minor"/>
      </rPr>
      <t>Beantragtes Kontingent Patient*in (Anzahl Therapieeinheiten)</t>
    </r>
  </si>
  <si>
    <r>
      <t xml:space="preserve">*STATISTIK: </t>
    </r>
    <r>
      <rPr>
        <sz val="11"/>
        <color theme="1"/>
        <rFont val="Calibri"/>
        <family val="2"/>
        <scheme val="minor"/>
      </rPr>
      <t>Befürwortetes Kontingent Patient*in (Anzahl Therapieeinheiten)</t>
    </r>
  </si>
  <si>
    <t>Kontingente der Patient*innen</t>
  </si>
  <si>
    <t>Kontingente der Bezugspersonen</t>
  </si>
  <si>
    <r>
      <rPr>
        <b/>
        <sz val="10"/>
        <color theme="1"/>
        <rFont val="Calibri"/>
        <family val="2"/>
        <scheme val="minor"/>
      </rPr>
      <t xml:space="preserve">Bitte beachten Sie: </t>
    </r>
    <r>
      <rPr>
        <sz val="10"/>
        <color theme="1"/>
        <rFont val="Calibri"/>
        <family val="2"/>
        <scheme val="minor"/>
      </rPr>
      <t>Diese Ergebnistabelle soll Ihre Auswertung unterstützen. Die Tabelle muss vollständig ausgefüllt werden. Bitte prüfen Sie Ihre Ergebnisse auf Plausibiliät. Die Ergebnisse sind bis spätestens 31. März des Folgejahres über ein Online-Formular einzureichen.</t>
    </r>
  </si>
  <si>
    <t>Hinweis zur Quote:</t>
  </si>
  <si>
    <t>Ergebnismatrix ST KiJu</t>
  </si>
  <si>
    <t>Systemische Therapie für Kinder und Jugendliche (ST KiJu)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</si>
</sst>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3.5"/>
      <color theme="1"/>
      <name val="Calibri"/>
      <family val="2"/>
      <scheme val="minor"/>
    </font>
    <font>
      <sz val="10"/>
      <color theme="1"/>
      <name val="Calibri"/>
      <family val="2"/>
      <scheme val="minor"/>
    </font>
    <font>
      <i/>
      <sz val="10"/>
      <color theme="1"/>
      <name val="Calibri"/>
      <family val="2"/>
      <scheme val="minor"/>
    </font>
    <font>
      <i/>
      <sz val="8"/>
      <color theme="1"/>
      <name val="Calibri"/>
      <family val="2"/>
      <scheme val="minor"/>
    </font>
    <font>
      <i/>
      <sz val="8"/>
      <color rgb="FFFF0000"/>
      <name val="Calibri"/>
      <family val="2"/>
      <scheme val="minor"/>
    </font>
    <font>
      <b/>
      <sz val="10"/>
      <color theme="1"/>
      <name val="Calibri"/>
      <family val="2"/>
      <scheme val="minor"/>
    </font>
    <font>
      <b/>
      <sz val="14"/>
      <color theme="1"/>
      <name val="Calibri"/>
      <family val="2"/>
      <scheme val="minor"/>
    </font>
    <font>
      <b/>
      <i/>
      <sz val="10"/>
      <color theme="1"/>
      <name val="Calibri"/>
      <family val="2"/>
      <scheme val="minor"/>
    </font>
    <font>
      <b/>
      <sz val="10"/>
      <color theme="0" tint="-0.499984740745262"/>
      <name val="Calibri"/>
      <family val="2"/>
      <scheme val="minor"/>
    </font>
    <font>
      <i/>
      <sz val="10"/>
      <color theme="0" tint="-0.499984740745262"/>
      <name val="Calibri"/>
      <family val="2"/>
      <scheme val="minor"/>
    </font>
    <font>
      <sz val="11"/>
      <name val="Calibri"/>
      <family val="2"/>
      <scheme val="minor"/>
    </font>
    <font>
      <b/>
      <sz val="11"/>
      <name val="Calibri"/>
      <family val="2"/>
      <scheme val="minor"/>
    </font>
    <font>
      <i/>
      <sz val="11"/>
      <color theme="1"/>
      <name val="Calibri"/>
      <family val="2"/>
      <scheme val="minor"/>
    </font>
    <font>
      <sz val="11"/>
      <color theme="0" tint="-0.499984740745262"/>
      <name val="Calibri"/>
      <family val="2"/>
      <scheme val="minor"/>
    </font>
    <font>
      <sz val="8"/>
      <color rgb="FFFF000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theme="0" tint="-0.249977111117893"/>
        <bgColor indexed="64"/>
      </patternFill>
    </fill>
    <fill>
      <patternFill patternType="solid">
        <fgColor indexed="65"/>
        <bgColor theme="0"/>
      </patternFill>
    </fill>
    <fill>
      <patternFill patternType="solid">
        <fgColor theme="9" tint="0.59999389629810485"/>
        <bgColor indexed="64"/>
      </patternFill>
    </fill>
    <fill>
      <patternFill patternType="solid">
        <fgColor theme="0" tint="-0.149967955565050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4.9989318521683403E-2"/>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double">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hair">
        <color indexed="64"/>
      </right>
      <top style="double">
        <color indexed="64"/>
      </top>
      <bottom style="double">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auto="1"/>
      </left>
      <right/>
      <top style="hair">
        <color auto="1"/>
      </top>
      <bottom style="hair">
        <color auto="1"/>
      </bottom>
      <diagonal/>
    </border>
    <border>
      <left style="hair">
        <color indexed="64"/>
      </left>
      <right/>
      <top style="hair">
        <color indexed="64"/>
      </top>
      <bottom style="medium">
        <color indexed="64"/>
      </bottom>
      <diagonal/>
    </border>
    <border>
      <left style="hair">
        <color indexed="64"/>
      </left>
      <right/>
      <top style="double">
        <color indexed="64"/>
      </top>
      <bottom style="double">
        <color indexed="64"/>
      </bottom>
      <diagonal/>
    </border>
    <border>
      <left/>
      <right/>
      <top style="double">
        <color indexed="64"/>
      </top>
      <bottom/>
      <diagonal/>
    </border>
    <border>
      <left style="double">
        <color indexed="64"/>
      </left>
      <right style="double">
        <color indexed="64"/>
      </right>
      <top/>
      <bottom/>
      <diagonal/>
    </border>
    <border>
      <left style="medium">
        <color auto="1"/>
      </left>
      <right style="medium">
        <color auto="1"/>
      </right>
      <top/>
      <bottom/>
      <diagonal/>
    </border>
    <border>
      <left style="hair">
        <color indexed="64"/>
      </left>
      <right/>
      <top style="double">
        <color indexed="64"/>
      </top>
      <bottom style="medium">
        <color indexed="64"/>
      </bottom>
      <diagonal/>
    </border>
    <border>
      <left/>
      <right style="medium">
        <color indexed="64"/>
      </right>
      <top style="medium">
        <color indexed="64"/>
      </top>
      <bottom/>
      <diagonal/>
    </border>
    <border>
      <left/>
      <right style="thick">
        <color indexed="64"/>
      </right>
      <top style="double">
        <color indexed="64"/>
      </top>
      <bottom style="medium">
        <color indexed="64"/>
      </bottom>
      <diagonal/>
    </border>
    <border>
      <left style="medium">
        <color auto="1"/>
      </left>
      <right style="thick">
        <color indexed="64"/>
      </right>
      <top style="medium">
        <color auto="1"/>
      </top>
      <bottom style="hair">
        <color auto="1"/>
      </bottom>
      <diagonal/>
    </border>
    <border>
      <left style="medium">
        <color auto="1"/>
      </left>
      <right style="thick">
        <color indexed="64"/>
      </right>
      <top style="hair">
        <color auto="1"/>
      </top>
      <bottom style="hair">
        <color auto="1"/>
      </bottom>
      <diagonal/>
    </border>
    <border>
      <left style="medium">
        <color auto="1"/>
      </left>
      <right style="thick">
        <color indexed="64"/>
      </right>
      <top style="hair">
        <color auto="1"/>
      </top>
      <bottom style="medium">
        <color indexed="64"/>
      </bottom>
      <diagonal/>
    </border>
    <border>
      <left style="double">
        <color indexed="64"/>
      </left>
      <right style="double">
        <color indexed="64"/>
      </right>
      <top style="double">
        <color indexed="64"/>
      </top>
      <bottom style="double">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hair">
        <color auto="1"/>
      </bottom>
      <diagonal/>
    </border>
    <border>
      <left/>
      <right style="hair">
        <color auto="1"/>
      </right>
      <top style="medium">
        <color indexed="64"/>
      </top>
      <bottom style="hair">
        <color auto="1"/>
      </bottom>
      <diagonal/>
    </border>
    <border>
      <left/>
      <right style="hair">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0" fillId="0" borderId="0" xfId="0" applyFont="1"/>
    <xf numFmtId="0" fontId="18" fillId="0" borderId="0" xfId="0" applyFont="1" applyBorder="1" applyAlignment="1">
      <alignment vertical="center" wrapText="1"/>
    </xf>
    <xf numFmtId="0" fontId="19" fillId="33" borderId="13" xfId="0" applyFont="1" applyFill="1" applyBorder="1" applyAlignment="1">
      <alignment vertical="center" wrapText="1"/>
    </xf>
    <xf numFmtId="0" fontId="20" fillId="33" borderId="14" xfId="0" applyFont="1" applyFill="1" applyBorder="1" applyAlignment="1">
      <alignment vertical="top" wrapText="1"/>
    </xf>
    <xf numFmtId="0" fontId="20" fillId="0" borderId="16"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0" fontId="19" fillId="0" borderId="19" xfId="0" applyFont="1" applyBorder="1" applyAlignment="1">
      <alignment vertical="center" wrapText="1"/>
    </xf>
    <xf numFmtId="0" fontId="19" fillId="0" borderId="20" xfId="0" applyFont="1" applyBorder="1" applyAlignment="1">
      <alignment vertical="center" wrapText="1"/>
    </xf>
    <xf numFmtId="0" fontId="19" fillId="0" borderId="10" xfId="0" applyFont="1" applyBorder="1" applyAlignment="1">
      <alignment vertical="center" wrapText="1"/>
    </xf>
    <xf numFmtId="0" fontId="19" fillId="0" borderId="21" xfId="0" applyFont="1" applyBorder="1" applyAlignment="1">
      <alignment vertical="center" wrapText="1"/>
    </xf>
    <xf numFmtId="0" fontId="19" fillId="0" borderId="22" xfId="0" applyFont="1" applyBorder="1" applyAlignment="1">
      <alignment vertical="center" wrapText="1"/>
    </xf>
    <xf numFmtId="0" fontId="19" fillId="0" borderId="0" xfId="0" applyFont="1" applyBorder="1" applyAlignment="1">
      <alignment horizontal="center" vertical="center" wrapText="1"/>
    </xf>
    <xf numFmtId="0" fontId="19" fillId="0" borderId="0" xfId="0" applyFont="1" applyFill="1" applyBorder="1" applyAlignment="1">
      <alignment vertical="center" wrapText="1"/>
    </xf>
    <xf numFmtId="0" fontId="22" fillId="0" borderId="0" xfId="0" applyFont="1" applyFill="1" applyBorder="1" applyAlignment="1">
      <alignment vertical="center" wrapText="1"/>
    </xf>
    <xf numFmtId="0" fontId="23" fillId="0" borderId="15" xfId="0" applyFont="1" applyBorder="1" applyAlignment="1">
      <alignment vertical="center" wrapText="1"/>
    </xf>
    <xf numFmtId="0" fontId="19" fillId="0" borderId="0" xfId="0" applyFont="1" applyBorder="1" applyAlignment="1">
      <alignment vertical="center" wrapText="1"/>
    </xf>
    <xf numFmtId="0" fontId="20" fillId="33" borderId="25" xfId="0" applyFont="1" applyFill="1" applyBorder="1" applyAlignment="1">
      <alignment vertical="top" wrapText="1"/>
    </xf>
    <xf numFmtId="0" fontId="19" fillId="0" borderId="26" xfId="0" applyFont="1" applyBorder="1" applyAlignment="1">
      <alignment vertical="center" wrapText="1"/>
    </xf>
    <xf numFmtId="0" fontId="19" fillId="0" borderId="27" xfId="0" applyFont="1" applyBorder="1" applyAlignment="1">
      <alignment vertical="center" wrapText="1"/>
    </xf>
    <xf numFmtId="0" fontId="19" fillId="0" borderId="28" xfId="0" applyFont="1" applyBorder="1" applyAlignment="1">
      <alignment vertical="center" wrapText="1"/>
    </xf>
    <xf numFmtId="0" fontId="19" fillId="0" borderId="29" xfId="0" applyFont="1" applyBorder="1" applyAlignment="1">
      <alignment vertical="center" wrapText="1"/>
    </xf>
    <xf numFmtId="0" fontId="23" fillId="0" borderId="0" xfId="0" applyFont="1"/>
    <xf numFmtId="0" fontId="19" fillId="0" borderId="0" xfId="0" applyFont="1" applyAlignment="1">
      <alignment horizontal="left" vertical="center" wrapText="1"/>
    </xf>
    <xf numFmtId="0" fontId="22" fillId="0" borderId="0" xfId="0" applyFont="1" applyAlignment="1">
      <alignment horizontal="right" vertical="center"/>
    </xf>
    <xf numFmtId="0" fontId="20" fillId="0" borderId="19" xfId="0" applyFont="1" applyBorder="1" applyAlignment="1">
      <alignment vertical="center" wrapText="1"/>
    </xf>
    <xf numFmtId="0" fontId="19" fillId="0" borderId="0" xfId="0" applyFont="1" applyFill="1" applyBorder="1" applyAlignment="1">
      <alignment horizontal="center" vertical="center" wrapText="1"/>
    </xf>
    <xf numFmtId="0" fontId="19" fillId="0" borderId="30" xfId="0" applyFont="1" applyBorder="1" applyAlignment="1">
      <alignment vertical="center" wrapText="1"/>
    </xf>
    <xf numFmtId="0" fontId="20" fillId="33" borderId="23" xfId="0" applyFont="1" applyFill="1" applyBorder="1" applyAlignment="1">
      <alignment vertical="center" wrapText="1"/>
    </xf>
    <xf numFmtId="0" fontId="20" fillId="33" borderId="12" xfId="0" applyFont="1" applyFill="1" applyBorder="1" applyAlignment="1">
      <alignment vertical="center" wrapText="1"/>
    </xf>
    <xf numFmtId="0" fontId="20" fillId="0" borderId="33" xfId="0" applyFont="1" applyBorder="1" applyAlignment="1">
      <alignment vertical="center" wrapText="1"/>
    </xf>
    <xf numFmtId="0" fontId="20" fillId="33" borderId="34" xfId="0" applyFont="1" applyFill="1" applyBorder="1" applyAlignment="1">
      <alignment vertical="top" wrapText="1"/>
    </xf>
    <xf numFmtId="0" fontId="20" fillId="0" borderId="35" xfId="0" applyFont="1" applyBorder="1" applyAlignment="1">
      <alignment vertical="center" wrapText="1"/>
    </xf>
    <xf numFmtId="0" fontId="19" fillId="0" borderId="32" xfId="0" applyFont="1" applyBorder="1" applyAlignment="1">
      <alignment vertical="center" wrapText="1"/>
    </xf>
    <xf numFmtId="0" fontId="20" fillId="35" borderId="32" xfId="0" applyFont="1" applyFill="1" applyBorder="1" applyAlignment="1">
      <alignment vertical="center" wrapText="1"/>
    </xf>
    <xf numFmtId="0" fontId="20" fillId="0" borderId="32" xfId="0" applyFont="1" applyFill="1" applyBorder="1" applyAlignment="1">
      <alignment vertical="top" wrapText="1"/>
    </xf>
    <xf numFmtId="0" fontId="20" fillId="0" borderId="32" xfId="0" applyFont="1" applyFill="1" applyBorder="1" applyAlignment="1">
      <alignment vertical="center" wrapText="1"/>
    </xf>
    <xf numFmtId="0" fontId="20" fillId="0" borderId="11" xfId="0" applyFont="1" applyBorder="1" applyAlignment="1">
      <alignment vertical="center" wrapText="1"/>
    </xf>
    <xf numFmtId="0" fontId="23" fillId="0" borderId="11" xfId="0" applyFont="1" applyBorder="1" applyAlignment="1">
      <alignment vertical="center" wrapText="1"/>
    </xf>
    <xf numFmtId="0" fontId="20" fillId="35" borderId="0" xfId="0" applyFont="1" applyFill="1" applyBorder="1" applyAlignment="1">
      <alignment vertical="center" wrapText="1"/>
    </xf>
    <xf numFmtId="0" fontId="22" fillId="0" borderId="0" xfId="0" applyFont="1" applyAlignment="1">
      <alignment horizontal="left" vertical="center" wrapText="1"/>
    </xf>
    <xf numFmtId="0" fontId="19" fillId="0" borderId="31" xfId="0" applyFont="1" applyBorder="1" applyAlignment="1">
      <alignment vertical="center" wrapText="1"/>
    </xf>
    <xf numFmtId="0" fontId="19" fillId="0" borderId="0" xfId="0" applyFont="1" applyBorder="1" applyAlignment="1">
      <alignment horizontal="left" vertical="top" wrapText="1"/>
    </xf>
    <xf numFmtId="0" fontId="23" fillId="0" borderId="24" xfId="0" applyFont="1" applyBorder="1" applyAlignment="1">
      <alignment vertical="center" wrapText="1"/>
    </xf>
    <xf numFmtId="0" fontId="21" fillId="0" borderId="0" xfId="0" applyFont="1" applyAlignment="1">
      <alignment horizontal="left" vertical="top"/>
    </xf>
    <xf numFmtId="0" fontId="20" fillId="33" borderId="34" xfId="0" applyFont="1" applyFill="1" applyBorder="1" applyAlignment="1">
      <alignment vertical="center" wrapText="1"/>
    </xf>
    <xf numFmtId="0" fontId="20" fillId="0" borderId="36" xfId="0" applyFont="1" applyBorder="1" applyAlignment="1">
      <alignment vertical="center" wrapText="1"/>
    </xf>
    <xf numFmtId="0" fontId="20" fillId="0" borderId="37" xfId="0" applyFont="1" applyBorder="1" applyAlignment="1">
      <alignment vertical="center" wrapText="1"/>
    </xf>
    <xf numFmtId="0" fontId="20" fillId="0" borderId="38" xfId="0" applyFont="1" applyBorder="1" applyAlignment="1">
      <alignment vertical="center" wrapText="1"/>
    </xf>
    <xf numFmtId="0" fontId="20" fillId="0" borderId="39" xfId="0" applyFont="1" applyBorder="1" applyAlignment="1">
      <alignment vertical="center" wrapText="1"/>
    </xf>
    <xf numFmtId="0" fontId="19" fillId="0" borderId="0" xfId="0" applyFont="1" applyBorder="1" applyAlignment="1">
      <alignment horizontal="left" vertical="center" wrapText="1"/>
    </xf>
    <xf numFmtId="49" fontId="19" fillId="0" borderId="0" xfId="0" applyNumberFormat="1" applyFont="1" applyBorder="1" applyAlignment="1">
      <alignment horizontal="right" vertical="center" wrapText="1"/>
    </xf>
    <xf numFmtId="0" fontId="26" fillId="0" borderId="0" xfId="0" applyFont="1"/>
    <xf numFmtId="0" fontId="27" fillId="0" borderId="0" xfId="0" applyFont="1" applyAlignment="1">
      <alignment horizontal="left"/>
    </xf>
    <xf numFmtId="49" fontId="16" fillId="0" borderId="10" xfId="0" applyNumberFormat="1" applyFont="1" applyBorder="1" applyAlignment="1">
      <alignment horizontal="left" vertical="top" wrapText="1"/>
    </xf>
    <xf numFmtId="49" fontId="28" fillId="36" borderId="10" xfId="0" applyNumberFormat="1" applyFont="1" applyFill="1" applyBorder="1" applyAlignment="1">
      <alignment horizontal="left" vertical="top" wrapText="1"/>
    </xf>
    <xf numFmtId="49" fontId="0" fillId="36" borderId="10" xfId="0" applyNumberFormat="1" applyFill="1" applyBorder="1" applyAlignment="1">
      <alignment horizontal="left" vertical="top" wrapText="1"/>
    </xf>
    <xf numFmtId="49" fontId="0" fillId="0" borderId="10" xfId="0" applyNumberFormat="1" applyBorder="1"/>
    <xf numFmtId="14" fontId="0" fillId="0" borderId="10" xfId="0" applyNumberFormat="1" applyBorder="1"/>
    <xf numFmtId="1" fontId="28" fillId="36" borderId="10" xfId="0" applyNumberFormat="1" applyFont="1" applyFill="1" applyBorder="1"/>
    <xf numFmtId="1" fontId="0" fillId="36" borderId="10" xfId="0" applyNumberFormat="1" applyFill="1" applyBorder="1"/>
    <xf numFmtId="1" fontId="0" fillId="0" borderId="10" xfId="0" applyNumberFormat="1" applyBorder="1"/>
    <xf numFmtId="49" fontId="31" fillId="0" borderId="10" xfId="0" applyNumberFormat="1" applyFont="1" applyBorder="1"/>
    <xf numFmtId="14" fontId="31" fillId="0" borderId="10" xfId="0" applyNumberFormat="1" applyFont="1" applyBorder="1"/>
    <xf numFmtId="1" fontId="31" fillId="36" borderId="10" xfId="0" applyNumberFormat="1" applyFont="1" applyFill="1" applyBorder="1"/>
    <xf numFmtId="1" fontId="31" fillId="0" borderId="10" xfId="0" applyNumberFormat="1" applyFont="1" applyBorder="1"/>
    <xf numFmtId="0" fontId="31" fillId="0" borderId="0" xfId="0" applyFont="1"/>
    <xf numFmtId="0" fontId="16" fillId="37" borderId="10" xfId="0" applyFont="1" applyFill="1" applyBorder="1" applyAlignment="1">
      <alignment horizontal="left" vertical="top" wrapText="1"/>
    </xf>
    <xf numFmtId="0" fontId="16" fillId="37" borderId="10" xfId="0" applyFont="1" applyFill="1" applyBorder="1" applyAlignment="1">
      <alignment horizontal="left" vertical="top"/>
    </xf>
    <xf numFmtId="0" fontId="0" fillId="37" borderId="10" xfId="0" applyFill="1" applyBorder="1"/>
    <xf numFmtId="0" fontId="0" fillId="0" borderId="10" xfId="0" applyBorder="1"/>
    <xf numFmtId="0" fontId="16" fillId="0" borderId="10" xfId="0" applyFont="1" applyBorder="1" applyAlignment="1">
      <alignment horizontal="left" vertical="top" wrapText="1"/>
    </xf>
    <xf numFmtId="22" fontId="28" fillId="38" borderId="10" xfId="0" applyNumberFormat="1" applyFont="1" applyFill="1" applyBorder="1"/>
    <xf numFmtId="22" fontId="28" fillId="0" borderId="10" xfId="0" applyNumberFormat="1" applyFont="1" applyBorder="1"/>
    <xf numFmtId="22" fontId="0" fillId="0" borderId="10" xfId="0" applyNumberFormat="1" applyBorder="1"/>
    <xf numFmtId="0" fontId="0" fillId="39" borderId="10" xfId="0" applyFill="1" applyBorder="1" applyAlignment="1">
      <alignment horizontal="left" vertical="top" wrapText="1"/>
    </xf>
    <xf numFmtId="0" fontId="28" fillId="38" borderId="10" xfId="0" applyFont="1" applyFill="1" applyBorder="1"/>
    <xf numFmtId="0" fontId="0" fillId="38" borderId="10" xfId="0" applyFill="1" applyBorder="1"/>
    <xf numFmtId="0" fontId="0" fillId="0" borderId="10" xfId="0" applyFill="1" applyBorder="1"/>
    <xf numFmtId="0" fontId="28" fillId="0" borderId="10" xfId="0" applyFont="1" applyFill="1" applyBorder="1"/>
    <xf numFmtId="0" fontId="30" fillId="40" borderId="0" xfId="0" applyFont="1" applyFill="1" applyAlignment="1">
      <alignment wrapText="1"/>
    </xf>
    <xf numFmtId="0" fontId="23" fillId="0" borderId="0" xfId="0" applyFont="1" applyAlignment="1"/>
    <xf numFmtId="0" fontId="22" fillId="0" borderId="0" xfId="0" applyFont="1" applyFill="1" applyBorder="1" applyAlignment="1">
      <alignment vertical="center"/>
    </xf>
    <xf numFmtId="49" fontId="0" fillId="0" borderId="10" xfId="0" applyNumberFormat="1" applyFill="1" applyBorder="1" applyAlignment="1">
      <alignment horizontal="left" vertical="top" wrapText="1"/>
    </xf>
    <xf numFmtId="1" fontId="0" fillId="0" borderId="10" xfId="0" applyNumberFormat="1" applyFill="1" applyBorder="1"/>
    <xf numFmtId="1" fontId="31" fillId="0" borderId="10" xfId="0" applyNumberFormat="1" applyFont="1" applyFill="1" applyBorder="1"/>
    <xf numFmtId="49" fontId="16" fillId="36" borderId="10" xfId="0" applyNumberFormat="1" applyFont="1" applyFill="1" applyBorder="1" applyAlignment="1">
      <alignment horizontal="left" vertical="top" wrapText="1"/>
    </xf>
    <xf numFmtId="0" fontId="28" fillId="38" borderId="10" xfId="0" applyFont="1" applyFill="1" applyBorder="1" applyAlignment="1">
      <alignment wrapText="1"/>
    </xf>
    <xf numFmtId="0" fontId="20" fillId="0" borderId="42" xfId="0" applyFont="1" applyBorder="1" applyAlignment="1">
      <alignment vertical="center" wrapText="1"/>
    </xf>
    <xf numFmtId="0" fontId="19" fillId="0" borderId="43" xfId="0" applyFont="1" applyBorder="1" applyAlignment="1">
      <alignment vertical="center" wrapText="1"/>
    </xf>
    <xf numFmtId="0" fontId="20" fillId="34" borderId="49" xfId="0" applyFont="1" applyFill="1" applyBorder="1" applyAlignment="1">
      <alignment horizontal="center" vertical="center" wrapText="1"/>
    </xf>
    <xf numFmtId="0" fontId="20" fillId="34" borderId="50" xfId="0" applyFont="1" applyFill="1" applyBorder="1" applyAlignment="1">
      <alignment horizontal="center" vertical="center" wrapText="1"/>
    </xf>
    <xf numFmtId="1" fontId="19" fillId="0" borderId="46" xfId="0" applyNumberFormat="1" applyFont="1" applyFill="1" applyBorder="1" applyAlignment="1">
      <alignment horizontal="right" vertical="center" wrapText="1"/>
    </xf>
    <xf numFmtId="1" fontId="19" fillId="0" borderId="47" xfId="0" applyNumberFormat="1" applyFont="1" applyFill="1" applyBorder="1" applyAlignment="1">
      <alignment horizontal="right" vertical="center" wrapText="1"/>
    </xf>
    <xf numFmtId="1" fontId="19" fillId="0" borderId="22" xfId="0" applyNumberFormat="1" applyFont="1" applyBorder="1" applyAlignment="1">
      <alignment horizontal="right" vertical="center" wrapText="1"/>
    </xf>
    <xf numFmtId="1" fontId="19" fillId="0" borderId="44" xfId="0" applyNumberFormat="1" applyFont="1" applyBorder="1" applyAlignment="1">
      <alignment horizontal="right" vertical="center" wrapText="1"/>
    </xf>
    <xf numFmtId="10" fontId="32" fillId="0" borderId="0" xfId="0" applyNumberFormat="1" applyFont="1"/>
    <xf numFmtId="0" fontId="32" fillId="0" borderId="0" xfId="0" applyFont="1" applyBorder="1" applyAlignment="1">
      <alignment horizontal="right" wrapText="1"/>
    </xf>
    <xf numFmtId="0" fontId="23" fillId="0" borderId="0" xfId="0" applyFont="1" applyAlignment="1">
      <alignment horizontal="left" vertical="center"/>
    </xf>
    <xf numFmtId="0" fontId="23" fillId="0" borderId="0" xfId="0" applyFont="1" applyAlignment="1">
      <alignment horizontal="left"/>
    </xf>
    <xf numFmtId="0" fontId="23" fillId="0" borderId="0" xfId="0" applyFont="1" applyBorder="1" applyAlignment="1">
      <alignment horizontal="left" vertical="center"/>
    </xf>
    <xf numFmtId="0" fontId="24" fillId="0" borderId="0" xfId="0" applyFont="1" applyAlignment="1">
      <alignment horizontal="left" vertical="center"/>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7" xfId="0" applyFont="1" applyBorder="1" applyAlignment="1">
      <alignment horizontal="left" vertical="top" wrapText="1"/>
    </xf>
    <xf numFmtId="0" fontId="19" fillId="0" borderId="40" xfId="0" applyFont="1" applyBorder="1" applyAlignment="1">
      <alignment horizontal="left" vertical="top" wrapText="1"/>
    </xf>
    <xf numFmtId="0" fontId="19" fillId="0" borderId="41" xfId="0" applyFont="1" applyBorder="1" applyAlignment="1">
      <alignment horizontal="left" vertical="top" wrapText="1"/>
    </xf>
    <xf numFmtId="0" fontId="20" fillId="34" borderId="48" xfId="0" applyFont="1" applyFill="1" applyBorder="1" applyAlignment="1">
      <alignment horizontal="left" vertical="center" wrapText="1"/>
    </xf>
    <xf numFmtId="0" fontId="20" fillId="34" borderId="49" xfId="0" applyFont="1" applyFill="1" applyBorder="1" applyAlignment="1">
      <alignment horizontal="left" vertical="center" wrapText="1"/>
    </xf>
    <xf numFmtId="0" fontId="23" fillId="0" borderId="0" xfId="0" applyFont="1" applyBorder="1" applyAlignment="1">
      <alignment horizontal="left" vertical="top"/>
    </xf>
    <xf numFmtId="0" fontId="19" fillId="0" borderId="45" xfId="0" applyFont="1" applyFill="1" applyBorder="1" applyAlignment="1">
      <alignment horizontal="left" vertical="center" wrapText="1"/>
    </xf>
    <xf numFmtId="0" fontId="19" fillId="0" borderId="46" xfId="0" applyFont="1" applyFill="1" applyBorder="1" applyAlignment="1">
      <alignment horizontal="left" vertical="center" wrapText="1"/>
    </xf>
    <xf numFmtId="0" fontId="20" fillId="34" borderId="23" xfId="0" applyFont="1" applyFill="1" applyBorder="1" applyAlignment="1">
      <alignment horizontal="left" vertical="center" wrapText="1"/>
    </xf>
    <xf numFmtId="0" fontId="20" fillId="34" borderId="55" xfId="0" applyFont="1" applyFill="1" applyBorder="1" applyAlignment="1">
      <alignment horizontal="left" vertical="center" wrapText="1"/>
    </xf>
    <xf numFmtId="0" fontId="19" fillId="0" borderId="53" xfId="0" applyFont="1" applyFill="1" applyBorder="1" applyAlignment="1">
      <alignment horizontal="left" vertical="center" wrapText="1"/>
    </xf>
    <xf numFmtId="0" fontId="19" fillId="0" borderId="54" xfId="0" applyFont="1" applyFill="1" applyBorder="1" applyAlignment="1">
      <alignment horizontal="left" vertical="center" wrapText="1"/>
    </xf>
    <xf numFmtId="0" fontId="19" fillId="0" borderId="51" xfId="0" applyFont="1" applyBorder="1" applyAlignment="1">
      <alignment horizontal="left" vertical="center" wrapText="1"/>
    </xf>
    <xf numFmtId="0" fontId="19" fillId="0" borderId="52" xfId="0" applyFont="1" applyBorder="1" applyAlignment="1">
      <alignment horizontal="left" vertical="center" wrapTex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88"/>
  <sheetViews>
    <sheetView zoomScaleNormal="100" workbookViewId="0">
      <pane xSplit="1" ySplit="1" topLeftCell="B2" activePane="bottomRight" state="frozen"/>
      <selection pane="topRight" activeCell="B1" sqref="B1"/>
      <selection pane="bottomLeft" activeCell="A2" sqref="A2"/>
      <selection pane="bottomRight" activeCell="H2" sqref="H2"/>
    </sheetView>
  </sheetViews>
  <sheetFormatPr baseColWidth="10" defaultRowHeight="15" x14ac:dyDescent="0.25"/>
  <cols>
    <col min="1" max="1" width="15.7109375" style="58" customWidth="1"/>
    <col min="2" max="3" width="24.85546875" style="58" customWidth="1"/>
    <col min="4" max="4" width="19.140625" style="59" customWidth="1"/>
    <col min="5" max="5" width="22.5703125" style="59" customWidth="1"/>
    <col min="6" max="7" width="21.5703125" style="59" customWidth="1"/>
    <col min="8" max="8" width="16.5703125" style="60" customWidth="1"/>
    <col min="9" max="9" width="17.7109375" style="61" customWidth="1"/>
    <col min="10" max="10" width="37.28515625" style="61" customWidth="1"/>
    <col min="11" max="11" width="34.5703125" style="61" customWidth="1"/>
    <col min="12" max="12" width="24.5703125" style="61" customWidth="1"/>
    <col min="13" max="13" width="38.28515625" style="61" customWidth="1"/>
    <col min="14" max="14" width="27.85546875" style="61" customWidth="1"/>
    <col min="15" max="16" width="27.5703125" style="61" customWidth="1"/>
    <col min="17" max="17" width="27.7109375" style="61" customWidth="1"/>
    <col min="18" max="19" width="27.7109375" style="62" customWidth="1"/>
    <col min="20" max="20" width="29.7109375" style="85" customWidth="1"/>
    <col min="21" max="21" width="32" style="85" customWidth="1"/>
    <col min="22" max="22" width="21.85546875" style="59" customWidth="1"/>
    <col min="23" max="23" width="21.5703125" style="59" customWidth="1"/>
  </cols>
  <sheetData>
    <row r="1" spans="1:23" ht="81.75" customHeight="1" x14ac:dyDescent="0.25">
      <c r="A1" s="55" t="s">
        <v>33</v>
      </c>
      <c r="B1" s="55" t="s">
        <v>34</v>
      </c>
      <c r="C1" s="55" t="s">
        <v>35</v>
      </c>
      <c r="D1" s="55" t="s">
        <v>36</v>
      </c>
      <c r="E1" s="55" t="s">
        <v>37</v>
      </c>
      <c r="F1" s="55" t="s">
        <v>38</v>
      </c>
      <c r="G1" s="55" t="s">
        <v>39</v>
      </c>
      <c r="H1" s="56" t="s">
        <v>99</v>
      </c>
      <c r="I1" s="57" t="s">
        <v>100</v>
      </c>
      <c r="J1" s="57" t="s">
        <v>101</v>
      </c>
      <c r="K1" s="57" t="s">
        <v>102</v>
      </c>
      <c r="L1" s="57" t="s">
        <v>103</v>
      </c>
      <c r="M1" s="57" t="s">
        <v>104</v>
      </c>
      <c r="N1" s="87" t="s">
        <v>124</v>
      </c>
      <c r="O1" s="87" t="s">
        <v>125</v>
      </c>
      <c r="P1" s="87" t="s">
        <v>105</v>
      </c>
      <c r="Q1" s="87" t="s">
        <v>106</v>
      </c>
      <c r="R1" s="55" t="s">
        <v>40</v>
      </c>
      <c r="S1" s="55" t="s">
        <v>41</v>
      </c>
      <c r="T1" s="84" t="s">
        <v>107</v>
      </c>
      <c r="U1" s="84" t="s">
        <v>108</v>
      </c>
      <c r="V1" s="55" t="s">
        <v>42</v>
      </c>
      <c r="W1" s="55" t="s">
        <v>43</v>
      </c>
    </row>
    <row r="2" spans="1:23" ht="15" customHeight="1" x14ac:dyDescent="0.25"/>
    <row r="3" spans="1:23" ht="15" customHeight="1" x14ac:dyDescent="0.25"/>
    <row r="4" spans="1:23" ht="15" customHeight="1" x14ac:dyDescent="0.25"/>
    <row r="5" spans="1:23" ht="15" customHeight="1" x14ac:dyDescent="0.25"/>
    <row r="6" spans="1:23" ht="15" customHeight="1" x14ac:dyDescent="0.25"/>
    <row r="7" spans="1:23" ht="15" customHeight="1" x14ac:dyDescent="0.25"/>
    <row r="8" spans="1:23" ht="15" customHeight="1" x14ac:dyDescent="0.25"/>
    <row r="9" spans="1:23" ht="15" customHeight="1" x14ac:dyDescent="0.25"/>
    <row r="10" spans="1:23" ht="15" customHeight="1" x14ac:dyDescent="0.25"/>
    <row r="11" spans="1:23" ht="15" customHeight="1" x14ac:dyDescent="0.25"/>
    <row r="12" spans="1:23" ht="15" customHeight="1" x14ac:dyDescent="0.25"/>
    <row r="13" spans="1:23" ht="15" customHeight="1" x14ac:dyDescent="0.25"/>
    <row r="288" spans="1:23" s="67" customFormat="1" ht="15" customHeight="1" x14ac:dyDescent="0.25">
      <c r="A288" s="63"/>
      <c r="B288" s="63"/>
      <c r="C288" s="63"/>
      <c r="D288" s="64"/>
      <c r="E288" s="64"/>
      <c r="F288" s="64"/>
      <c r="G288" s="64"/>
      <c r="H288" s="60"/>
      <c r="I288" s="65"/>
      <c r="J288" s="65"/>
      <c r="K288" s="65"/>
      <c r="L288" s="65"/>
      <c r="M288" s="65"/>
      <c r="N288" s="65"/>
      <c r="O288" s="65"/>
      <c r="P288" s="65"/>
      <c r="Q288" s="65"/>
      <c r="R288" s="66"/>
      <c r="S288" s="66"/>
      <c r="T288" s="86"/>
      <c r="U288" s="86"/>
      <c r="V288" s="64"/>
      <c r="W288" s="64"/>
    </row>
  </sheetData>
  <autoFilter ref="A1:W1" xr:uid="{00000000-0009-0000-0000-000000000000}"/>
  <pageMargins left="0.7" right="0.7" top="0.78740157499999996" bottom="0.78740157499999996"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6"/>
  <sheetViews>
    <sheetView tabSelected="1" view="pageLayout" zoomScaleNormal="140" workbookViewId="0">
      <selection activeCell="C2" sqref="C2:G2"/>
    </sheetView>
  </sheetViews>
  <sheetFormatPr baseColWidth="10" defaultColWidth="9.140625" defaultRowHeight="15" x14ac:dyDescent="0.25"/>
  <cols>
    <col min="1" max="1" width="4.28515625" style="53" customWidth="1"/>
    <col min="2" max="2" width="25" customWidth="1"/>
    <col min="3" max="3" width="14.140625" customWidth="1"/>
    <col min="4" max="4" width="14.28515625" customWidth="1"/>
    <col min="5" max="5" width="14.5703125" customWidth="1"/>
    <col min="6" max="6" width="1.28515625" customWidth="1"/>
    <col min="7" max="7" width="13.140625" customWidth="1"/>
    <col min="9" max="9" width="7.28515625" customWidth="1"/>
    <col min="10" max="10" width="23.28515625" customWidth="1"/>
    <col min="11" max="11" width="13.42578125" customWidth="1"/>
    <col min="12" max="12" width="13.28515625" customWidth="1"/>
    <col min="13" max="13" width="12.7109375" customWidth="1"/>
    <col min="14" max="14" width="3" customWidth="1"/>
    <col min="15" max="15" width="12.140625" customWidth="1"/>
  </cols>
  <sheetData>
    <row r="1" spans="1:8" ht="22.5" customHeight="1" x14ac:dyDescent="0.25">
      <c r="B1" s="102" t="s">
        <v>86</v>
      </c>
      <c r="C1" s="102"/>
      <c r="D1" s="102"/>
      <c r="E1" s="102"/>
      <c r="F1" s="102"/>
      <c r="G1" s="102"/>
      <c r="H1" s="1"/>
    </row>
    <row r="2" spans="1:8" ht="17.100000000000001" customHeight="1" x14ac:dyDescent="0.25">
      <c r="A2" s="54"/>
      <c r="B2" s="24" t="s">
        <v>13</v>
      </c>
      <c r="C2" s="99"/>
      <c r="D2" s="99"/>
      <c r="E2" s="99"/>
      <c r="F2" s="99"/>
      <c r="G2" s="99"/>
      <c r="H2" s="1"/>
    </row>
    <row r="3" spans="1:8" ht="17.100000000000001" customHeight="1" x14ac:dyDescent="0.25">
      <c r="A3" s="54"/>
      <c r="B3" s="24" t="s">
        <v>12</v>
      </c>
      <c r="C3" s="100"/>
      <c r="D3" s="100"/>
      <c r="E3" s="100"/>
      <c r="F3" s="100"/>
      <c r="G3" s="100"/>
      <c r="H3" s="1"/>
    </row>
    <row r="4" spans="1:8" ht="17.100000000000001" customHeight="1" x14ac:dyDescent="0.25">
      <c r="A4" s="54"/>
      <c r="B4" s="24" t="s">
        <v>14</v>
      </c>
      <c r="C4" s="101"/>
      <c r="D4" s="101"/>
      <c r="E4" s="101"/>
      <c r="F4" s="101"/>
      <c r="G4" s="101"/>
      <c r="H4" s="1"/>
    </row>
    <row r="5" spans="1:8" ht="17.100000000000001" customHeight="1" x14ac:dyDescent="0.25">
      <c r="A5" s="54"/>
      <c r="B5" s="24" t="s">
        <v>20</v>
      </c>
      <c r="C5" s="100"/>
      <c r="D5" s="100"/>
      <c r="E5" s="100"/>
      <c r="F5" s="100"/>
      <c r="G5" s="100"/>
      <c r="H5" s="1"/>
    </row>
    <row r="6" spans="1:8" ht="17.100000000000001" customHeight="1" x14ac:dyDescent="0.25">
      <c r="A6" s="54"/>
      <c r="B6" s="24" t="s">
        <v>85</v>
      </c>
      <c r="C6" s="101"/>
      <c r="D6" s="101"/>
      <c r="E6" s="101"/>
      <c r="F6" s="101"/>
      <c r="G6" s="101"/>
      <c r="H6" s="1"/>
    </row>
    <row r="7" spans="1:8" ht="17.100000000000001" customHeight="1" x14ac:dyDescent="0.25">
      <c r="A7" s="54"/>
      <c r="B7" s="43" t="s">
        <v>15</v>
      </c>
      <c r="C7" s="110"/>
      <c r="D7" s="110"/>
      <c r="E7" s="110"/>
      <c r="F7" s="110"/>
      <c r="G7" s="110"/>
      <c r="H7" s="2"/>
    </row>
    <row r="8" spans="1:8" ht="17.100000000000001" customHeight="1" thickBot="1" x14ac:dyDescent="0.3">
      <c r="A8" s="54"/>
      <c r="B8" s="24" t="s">
        <v>21</v>
      </c>
      <c r="C8" s="100" t="s">
        <v>28</v>
      </c>
      <c r="D8" s="100"/>
      <c r="E8" s="100"/>
      <c r="F8" s="100"/>
      <c r="G8" s="100"/>
    </row>
    <row r="9" spans="1:8" ht="27.75" customHeight="1" thickBot="1" x14ac:dyDescent="0.3">
      <c r="A9" s="54"/>
      <c r="B9" s="3"/>
      <c r="C9" s="4" t="s">
        <v>16</v>
      </c>
      <c r="D9" s="4" t="s">
        <v>17</v>
      </c>
      <c r="E9" s="18" t="s">
        <v>18</v>
      </c>
      <c r="F9" s="36"/>
      <c r="G9" s="32" t="s">
        <v>19</v>
      </c>
      <c r="H9" s="1"/>
    </row>
    <row r="10" spans="1:8" ht="22.5" customHeight="1" thickTop="1" thickBot="1" x14ac:dyDescent="0.3">
      <c r="A10" s="54">
        <v>1</v>
      </c>
      <c r="B10" s="16" t="s">
        <v>22</v>
      </c>
      <c r="C10" s="5">
        <f>COUNTIFS('Gutachtenstatistik - Rohdaten'!H:H, 3, 'Gutachtenstatistik - Rohdaten'!I:I, 2, 'Gutachtenstatistik - Rohdaten'!L:L, 2, 'Gutachtenstatistik - Rohdaten'!M:M, 1)</f>
        <v>0</v>
      </c>
      <c r="D10" s="5">
        <f>COUNTIFS('Gutachtenstatistik - Rohdaten'!H:H, 3, 'Gutachtenstatistik - Rohdaten'!I:I, 2, 'Gutachtenstatistik - Rohdaten'!L:L, 2, 'Gutachtenstatistik - Rohdaten'!M:M, 2)</f>
        <v>0</v>
      </c>
      <c r="E10" s="31">
        <f>COUNTIFS('Gutachtenstatistik - Rohdaten'!H:H, 3, 'Gutachtenstatistik - Rohdaten'!I:I, 2, 'Gutachtenstatistik - Rohdaten'!L:L, 2, 'Gutachtenstatistik - Rohdaten'!M:M, 3)</f>
        <v>0</v>
      </c>
      <c r="F10" s="35"/>
      <c r="G10" s="33">
        <f>COUNTIFS('Gutachtenstatistik - Rohdaten'!H:H, 3, 'Gutachtenstatistik - Rohdaten'!I:I, 2, 'Gutachtenstatistik - Rohdaten'!L:L, 2)</f>
        <v>0</v>
      </c>
      <c r="H10" s="15" t="str">
        <f>IF(G10=(C10+D10+E10), "Quersumme ok", "nicht korrekt")</f>
        <v>Quersumme ok</v>
      </c>
    </row>
    <row r="11" spans="1:8" ht="6.75" customHeight="1" thickBot="1" x14ac:dyDescent="0.3">
      <c r="A11" s="54"/>
      <c r="B11" s="39"/>
      <c r="C11" s="38"/>
      <c r="D11" s="38"/>
      <c r="E11" s="38"/>
      <c r="F11" s="40"/>
      <c r="G11" s="38"/>
      <c r="H11" s="15"/>
    </row>
    <row r="12" spans="1:8" ht="25.5" customHeight="1" thickBot="1" x14ac:dyDescent="0.3">
      <c r="A12" s="54"/>
      <c r="B12" s="29" t="s">
        <v>10</v>
      </c>
      <c r="C12" s="30"/>
      <c r="D12" s="30"/>
      <c r="E12" s="30"/>
      <c r="F12" s="37"/>
      <c r="G12" s="46"/>
      <c r="H12" s="15"/>
    </row>
    <row r="13" spans="1:8" ht="25.5" customHeight="1" x14ac:dyDescent="0.25">
      <c r="A13" s="54">
        <v>2</v>
      </c>
      <c r="B13" s="6" t="s">
        <v>0</v>
      </c>
      <c r="C13" s="7">
        <f>COUNTIFS('Gutachtenstatistik - Rohdaten'!H:H, 3, 'Gutachtenstatistik - Rohdaten'!I:I, 2, 'Gutachtenstatistik - Rohdaten'!K:K, 1, 'Gutachtenstatistik - Rohdaten'!L:L, 2, 'Gutachtenstatistik - Rohdaten'!M:M, 1)</f>
        <v>0</v>
      </c>
      <c r="D13" s="7">
        <f>COUNTIFS('Gutachtenstatistik - Rohdaten'!H:H, 3, 'Gutachtenstatistik - Rohdaten'!I:I, 2, 'Gutachtenstatistik - Rohdaten'!K:K, 1, 'Gutachtenstatistik - Rohdaten'!L:L, 2, 'Gutachtenstatistik - Rohdaten'!M:M, 2)</f>
        <v>0</v>
      </c>
      <c r="E13" s="19">
        <f>COUNTIFS('Gutachtenstatistik - Rohdaten'!H:H, 3, 'Gutachtenstatistik - Rohdaten'!I:I, 2, 'Gutachtenstatistik - Rohdaten'!K:K, 1, 'Gutachtenstatistik - Rohdaten'!L:L, 2, 'Gutachtenstatistik - Rohdaten'!M:M, 3)</f>
        <v>0</v>
      </c>
      <c r="F13" s="34"/>
      <c r="G13" s="47">
        <f>COUNTIFS('Gutachtenstatistik - Rohdaten'!H:H, 3, 'Gutachtenstatistik - Rohdaten'!I:I, 2, 'Gutachtenstatistik - Rohdaten'!K:K, 1, 'Gutachtenstatistik - Rohdaten'!L:L, 2)</f>
        <v>0</v>
      </c>
      <c r="H13" s="15" t="str">
        <f t="shared" ref="H13:H18" si="0">IF(G13=(C13+D13+E13), "Quersumme ok", "nicht korrekt")</f>
        <v>Quersumme ok</v>
      </c>
    </row>
    <row r="14" spans="1:8" ht="25.5" customHeight="1" x14ac:dyDescent="0.25">
      <c r="A14" s="54">
        <v>3</v>
      </c>
      <c r="B14" s="9" t="s">
        <v>9</v>
      </c>
      <c r="C14" s="10">
        <f>COUNTIFS('Gutachtenstatistik - Rohdaten'!H:H, 3, 'Gutachtenstatistik - Rohdaten'!I:I, 2, 'Gutachtenstatistik - Rohdaten'!K:K, 2, 'Gutachtenstatistik - Rohdaten'!L:L, 2, 'Gutachtenstatistik - Rohdaten'!M:M, 1)</f>
        <v>0</v>
      </c>
      <c r="D14" s="10">
        <f>COUNTIFS('Gutachtenstatistik - Rohdaten'!H:H, 3, 'Gutachtenstatistik - Rohdaten'!I:I, 2, 'Gutachtenstatistik - Rohdaten'!K:K, 2, 'Gutachtenstatistik - Rohdaten'!L:L, 2, 'Gutachtenstatistik - Rohdaten'!M:M, 2)</f>
        <v>0</v>
      </c>
      <c r="E14" s="20">
        <f>COUNTIFS('Gutachtenstatistik - Rohdaten'!H:H, 3, 'Gutachtenstatistik - Rohdaten'!I:I, 2, 'Gutachtenstatistik - Rohdaten'!K:K, 2, 'Gutachtenstatistik - Rohdaten'!L:L, 2, 'Gutachtenstatistik - Rohdaten'!M:M, 3)</f>
        <v>0</v>
      </c>
      <c r="F14" s="34"/>
      <c r="G14" s="48">
        <f>COUNTIFS('Gutachtenstatistik - Rohdaten'!H:H, 3, 'Gutachtenstatistik - Rohdaten'!I:I, 2, 'Gutachtenstatistik - Rohdaten'!K:K, 2, 'Gutachtenstatistik - Rohdaten'!L:L, 2)</f>
        <v>0</v>
      </c>
      <c r="H14" s="15" t="str">
        <f t="shared" si="0"/>
        <v>Quersumme ok</v>
      </c>
    </row>
    <row r="15" spans="1:8" ht="25.5" customHeight="1" x14ac:dyDescent="0.25">
      <c r="A15" s="54">
        <v>4</v>
      </c>
      <c r="B15" s="9" t="s">
        <v>1</v>
      </c>
      <c r="C15" s="10">
        <f>COUNTIFS('Gutachtenstatistik - Rohdaten'!H:H, 3, 'Gutachtenstatistik - Rohdaten'!I:I, 2, 'Gutachtenstatistik - Rohdaten'!K:K, 3, 'Gutachtenstatistik - Rohdaten'!L:L, 2, 'Gutachtenstatistik - Rohdaten'!M:M, 1)</f>
        <v>0</v>
      </c>
      <c r="D15" s="10">
        <f>COUNTIFS('Gutachtenstatistik - Rohdaten'!H:H, 3, 'Gutachtenstatistik - Rohdaten'!I:I, 2, 'Gutachtenstatistik - Rohdaten'!K:K, 3, 'Gutachtenstatistik - Rohdaten'!L:L, 2, 'Gutachtenstatistik - Rohdaten'!M:M, 2)</f>
        <v>0</v>
      </c>
      <c r="E15" s="20">
        <f>COUNTIFS('Gutachtenstatistik - Rohdaten'!H:H, 3, 'Gutachtenstatistik - Rohdaten'!I:I, 2, 'Gutachtenstatistik - Rohdaten'!K:K, 3, 'Gutachtenstatistik - Rohdaten'!L:L, 2, 'Gutachtenstatistik - Rohdaten'!M:M, 3)</f>
        <v>0</v>
      </c>
      <c r="F15" s="34"/>
      <c r="G15" s="48">
        <f>COUNTIFS('Gutachtenstatistik - Rohdaten'!H:H, 3, 'Gutachtenstatistik - Rohdaten'!I:I, 2, 'Gutachtenstatistik - Rohdaten'!K:K, 3, 'Gutachtenstatistik - Rohdaten'!L:L, 2)</f>
        <v>0</v>
      </c>
      <c r="H15" s="15" t="str">
        <f t="shared" si="0"/>
        <v>Quersumme ok</v>
      </c>
    </row>
    <row r="16" spans="1:8" ht="25.5" customHeight="1" x14ac:dyDescent="0.25">
      <c r="A16" s="54">
        <v>5</v>
      </c>
      <c r="B16" s="9" t="s">
        <v>2</v>
      </c>
      <c r="C16" s="10">
        <f>COUNTIFS('Gutachtenstatistik - Rohdaten'!H:H, 3, 'Gutachtenstatistik - Rohdaten'!I:I, 2, 'Gutachtenstatistik - Rohdaten'!K:K, 4, 'Gutachtenstatistik - Rohdaten'!L:L, 2, 'Gutachtenstatistik - Rohdaten'!M:M, 1)</f>
        <v>0</v>
      </c>
      <c r="D16" s="10">
        <f>COUNTIFS('Gutachtenstatistik - Rohdaten'!H:H, 3, 'Gutachtenstatistik - Rohdaten'!I:I, 2, 'Gutachtenstatistik - Rohdaten'!K:K, 4, 'Gutachtenstatistik - Rohdaten'!L:L, 2, 'Gutachtenstatistik - Rohdaten'!M:M, 2)</f>
        <v>0</v>
      </c>
      <c r="E16" s="20">
        <f>COUNTIFS('Gutachtenstatistik - Rohdaten'!H:H, 3, 'Gutachtenstatistik - Rohdaten'!I:I, 2, 'Gutachtenstatistik - Rohdaten'!K:K, 4, 'Gutachtenstatistik - Rohdaten'!L:L, 2, 'Gutachtenstatistik - Rohdaten'!M:M, 3)</f>
        <v>0</v>
      </c>
      <c r="F16" s="34"/>
      <c r="G16" s="48">
        <f>COUNTIFS('Gutachtenstatistik - Rohdaten'!H:H, 3, 'Gutachtenstatistik - Rohdaten'!I:I, 2, 'Gutachtenstatistik - Rohdaten'!K:K, 4, 'Gutachtenstatistik - Rohdaten'!L:L, 2)</f>
        <v>0</v>
      </c>
      <c r="H16" s="15" t="str">
        <f t="shared" si="0"/>
        <v>Quersumme ok</v>
      </c>
    </row>
    <row r="17" spans="1:9" ht="25.5" customHeight="1" x14ac:dyDescent="0.25">
      <c r="A17" s="54">
        <v>6</v>
      </c>
      <c r="B17" s="9" t="s">
        <v>3</v>
      </c>
      <c r="C17" s="10">
        <f>COUNTIFS('Gutachtenstatistik - Rohdaten'!H:H, 3, 'Gutachtenstatistik - Rohdaten'!I:I, 2, 'Gutachtenstatistik - Rohdaten'!K:K, 5, 'Gutachtenstatistik - Rohdaten'!L:L, 2, 'Gutachtenstatistik - Rohdaten'!M:M, 1)</f>
        <v>0</v>
      </c>
      <c r="D17" s="10">
        <f>COUNTIFS('Gutachtenstatistik - Rohdaten'!H:H, 3, 'Gutachtenstatistik - Rohdaten'!I:I, 2, 'Gutachtenstatistik - Rohdaten'!K:K, 5, 'Gutachtenstatistik - Rohdaten'!L:L, 2, 'Gutachtenstatistik - Rohdaten'!M:M, 2)</f>
        <v>0</v>
      </c>
      <c r="E17" s="20">
        <f>COUNTIFS('Gutachtenstatistik - Rohdaten'!H:H, 3, 'Gutachtenstatistik - Rohdaten'!I:I, 2, 'Gutachtenstatistik - Rohdaten'!K:K, 5, 'Gutachtenstatistik - Rohdaten'!L:L, 2, 'Gutachtenstatistik - Rohdaten'!M:M, 3)</f>
        <v>0</v>
      </c>
      <c r="F17" s="34"/>
      <c r="G17" s="48">
        <f>COUNTIFS('Gutachtenstatistik - Rohdaten'!H:H, 3, 'Gutachtenstatistik - Rohdaten'!I:I, 2, 'Gutachtenstatistik - Rohdaten'!K:K, 5, 'Gutachtenstatistik - Rohdaten'!L:L, 2)</f>
        <v>0</v>
      </c>
      <c r="H17" s="15" t="str">
        <f t="shared" si="0"/>
        <v>Quersumme ok</v>
      </c>
    </row>
    <row r="18" spans="1:9" ht="25.5" customHeight="1" thickBot="1" x14ac:dyDescent="0.3">
      <c r="A18" s="54">
        <v>7</v>
      </c>
      <c r="B18" s="11" t="s">
        <v>29</v>
      </c>
      <c r="C18" s="12">
        <f>COUNTIFS('Gutachtenstatistik - Rohdaten'!H:H, 3, 'Gutachtenstatistik - Rohdaten'!I:I, 2, 'Gutachtenstatistik - Rohdaten'!K:K, 6, 'Gutachtenstatistik - Rohdaten'!L:L, 2, 'Gutachtenstatistik - Rohdaten'!M:M, 1)</f>
        <v>0</v>
      </c>
      <c r="D18" s="12">
        <f>COUNTIFS('Gutachtenstatistik - Rohdaten'!H:H, 3, 'Gutachtenstatistik - Rohdaten'!I:I, 2, 'Gutachtenstatistik - Rohdaten'!K:K, 6, 'Gutachtenstatistik - Rohdaten'!L:L, 2, 'Gutachtenstatistik - Rohdaten'!M:M, 2)</f>
        <v>0</v>
      </c>
      <c r="E18" s="21">
        <f>COUNTIFS('Gutachtenstatistik - Rohdaten'!H:H, 3, 'Gutachtenstatistik - Rohdaten'!I:I, 2, 'Gutachtenstatistik - Rohdaten'!K:K, 6, 'Gutachtenstatistik - Rohdaten'!L:L, 2, 'Gutachtenstatistik - Rohdaten'!M:M, 3)</f>
        <v>0</v>
      </c>
      <c r="F18" s="34"/>
      <c r="G18" s="49">
        <f>COUNTIFS('Gutachtenstatistik - Rohdaten'!H:H, 3, 'Gutachtenstatistik - Rohdaten'!I:I, 2, 'Gutachtenstatistik - Rohdaten'!K:K, 6, 'Gutachtenstatistik - Rohdaten'!L:L, 2)</f>
        <v>0</v>
      </c>
      <c r="H18" s="15" t="str">
        <f t="shared" si="0"/>
        <v>Quersumme ok</v>
      </c>
    </row>
    <row r="19" spans="1:9" ht="22.5" customHeight="1" thickBot="1" x14ac:dyDescent="0.3">
      <c r="A19" s="54">
        <v>8</v>
      </c>
      <c r="B19" s="41" t="s">
        <v>8</v>
      </c>
      <c r="C19" s="25" t="str">
        <f>IF(C10=(C13+C14+C15+C16+C17+C18), "ok", "nicht korrekt")</f>
        <v>ok</v>
      </c>
      <c r="D19" s="25" t="str">
        <f>IF(D10=(D13+D14+D15+D16+D17+D18), "ok", "nicht korrekt")</f>
        <v>ok</v>
      </c>
      <c r="E19" s="25" t="str">
        <f>IF(E10=(E13+E14+E15+E16+E17+E18), "ok", "nicht korrekt")</f>
        <v>ok</v>
      </c>
      <c r="F19" s="25"/>
      <c r="G19" s="25" t="str">
        <f>IF(G10=(G13+G14+G15+G16+G17+G18), "ok", "nicht korrekt")</f>
        <v>ok</v>
      </c>
      <c r="H19" s="15"/>
    </row>
    <row r="20" spans="1:9" ht="25.5" customHeight="1" thickBot="1" x14ac:dyDescent="0.3">
      <c r="A20" s="54"/>
      <c r="B20" s="29" t="s">
        <v>11</v>
      </c>
      <c r="C20" s="30"/>
      <c r="D20" s="30"/>
      <c r="E20" s="30"/>
      <c r="F20" s="37"/>
      <c r="G20" s="46"/>
      <c r="H20" s="15"/>
    </row>
    <row r="21" spans="1:9" ht="25.5" customHeight="1" x14ac:dyDescent="0.25">
      <c r="A21" s="54">
        <v>9</v>
      </c>
      <c r="B21" s="6" t="s">
        <v>4</v>
      </c>
      <c r="C21" s="7">
        <f>COUNTIFS('Gutachtenstatistik - Rohdaten'!H:H, 3, 'Gutachtenstatistik - Rohdaten'!I:I, 2, 'Gutachtenstatistik - Rohdaten'!J:J, 1, 'Gutachtenstatistik - Rohdaten'!L:L, 2, 'Gutachtenstatistik - Rohdaten'!M:M, 1)</f>
        <v>0</v>
      </c>
      <c r="D21" s="7">
        <f>COUNTIFS('Gutachtenstatistik - Rohdaten'!H:H, 3, 'Gutachtenstatistik - Rohdaten'!I:I, 2, 'Gutachtenstatistik - Rohdaten'!J:J, 1, 'Gutachtenstatistik - Rohdaten'!L:L, 2, 'Gutachtenstatistik - Rohdaten'!M:M, 2)</f>
        <v>0</v>
      </c>
      <c r="E21" s="19">
        <f>COUNTIFS('Gutachtenstatistik - Rohdaten'!H:H, 3, 'Gutachtenstatistik - Rohdaten'!I:I, 2, 'Gutachtenstatistik - Rohdaten'!J:J, 1, 'Gutachtenstatistik - Rohdaten'!L:L, 2, 'Gutachtenstatistik - Rohdaten'!M:M, 3)</f>
        <v>0</v>
      </c>
      <c r="F21" s="34"/>
      <c r="G21" s="47">
        <f>COUNTIFS('Gutachtenstatistik - Rohdaten'!H:H, 3, 'Gutachtenstatistik - Rohdaten'!I:I, 2, 'Gutachtenstatistik - Rohdaten'!J:J, 1, 'Gutachtenstatistik - Rohdaten'!L:L, 2)</f>
        <v>0</v>
      </c>
      <c r="H21" s="15" t="str">
        <f>IF(G21=(C21+D21+E21), "Quersumme ok", "nicht korrekt")</f>
        <v>Quersumme ok</v>
      </c>
    </row>
    <row r="22" spans="1:9" ht="25.5" customHeight="1" x14ac:dyDescent="0.25">
      <c r="A22" s="54">
        <v>10</v>
      </c>
      <c r="B22" s="9" t="s">
        <v>5</v>
      </c>
      <c r="C22" s="10">
        <f>COUNTIFS('Gutachtenstatistik - Rohdaten'!H:H, 3, 'Gutachtenstatistik - Rohdaten'!I:I, 2, 'Gutachtenstatistik - Rohdaten'!J:J, 2, 'Gutachtenstatistik - Rohdaten'!L:L, 2, 'Gutachtenstatistik - Rohdaten'!M:M, 1)</f>
        <v>0</v>
      </c>
      <c r="D22" s="10">
        <f>COUNTIFS('Gutachtenstatistik - Rohdaten'!H:H, 3, 'Gutachtenstatistik - Rohdaten'!I:I, 2, 'Gutachtenstatistik - Rohdaten'!J:J, 2, 'Gutachtenstatistik - Rohdaten'!L:L, 2, 'Gutachtenstatistik - Rohdaten'!M:M, 2)</f>
        <v>0</v>
      </c>
      <c r="E22" s="20">
        <f>COUNTIFS('Gutachtenstatistik - Rohdaten'!H:H, 3, 'Gutachtenstatistik - Rohdaten'!I:I, 2, 'Gutachtenstatistik - Rohdaten'!J:J, 2, 'Gutachtenstatistik - Rohdaten'!L:L, 2, 'Gutachtenstatistik - Rohdaten'!M:M, 3)</f>
        <v>0</v>
      </c>
      <c r="F22" s="34"/>
      <c r="G22" s="48">
        <f>COUNTIFS('Gutachtenstatistik - Rohdaten'!H:H, 3, 'Gutachtenstatistik - Rohdaten'!I:I, 2, 'Gutachtenstatistik - Rohdaten'!J:J, 2, 'Gutachtenstatistik - Rohdaten'!L:L, 2)</f>
        <v>0</v>
      </c>
      <c r="H22" s="15" t="str">
        <f>IF(G22=(C22+D22+E22), "Quersumme ok", "nicht korrekt")</f>
        <v>Quersumme ok</v>
      </c>
    </row>
    <row r="23" spans="1:9" ht="25.5" customHeight="1" x14ac:dyDescent="0.25">
      <c r="A23" s="54">
        <v>11</v>
      </c>
      <c r="B23" s="9" t="s">
        <v>6</v>
      </c>
      <c r="C23" s="10">
        <f>COUNTIFS('Gutachtenstatistik - Rohdaten'!H:H, 3, 'Gutachtenstatistik - Rohdaten'!I:I, 2, 'Gutachtenstatistik - Rohdaten'!J:J, 3, 'Gutachtenstatistik - Rohdaten'!L:L, 2, 'Gutachtenstatistik - Rohdaten'!M:M, 1)</f>
        <v>0</v>
      </c>
      <c r="D23" s="10">
        <f>COUNTIFS('Gutachtenstatistik - Rohdaten'!H:H, 3, 'Gutachtenstatistik - Rohdaten'!I:I, 2, 'Gutachtenstatistik - Rohdaten'!J:J, 3, 'Gutachtenstatistik - Rohdaten'!L:L, 2, 'Gutachtenstatistik - Rohdaten'!M:M, 2)</f>
        <v>0</v>
      </c>
      <c r="E23" s="20">
        <f>COUNTIFS('Gutachtenstatistik - Rohdaten'!H:H, 3, 'Gutachtenstatistik - Rohdaten'!I:I, 2, 'Gutachtenstatistik - Rohdaten'!J:J, 3, 'Gutachtenstatistik - Rohdaten'!L:L, 2, 'Gutachtenstatistik - Rohdaten'!M:M, 3)</f>
        <v>0</v>
      </c>
      <c r="F23" s="34"/>
      <c r="G23" s="48">
        <f>COUNTIFS('Gutachtenstatistik - Rohdaten'!H:H, 3, 'Gutachtenstatistik - Rohdaten'!I:I, 2, 'Gutachtenstatistik - Rohdaten'!J:J, 3, 'Gutachtenstatistik - Rohdaten'!L:L, 2)</f>
        <v>0</v>
      </c>
      <c r="H23" s="15" t="str">
        <f>IF(G23=(C23+D23+E23), "Quersumme ok", "nicht korrekt")</f>
        <v>Quersumme ok</v>
      </c>
    </row>
    <row r="24" spans="1:9" ht="25.5" customHeight="1" thickBot="1" x14ac:dyDescent="0.3">
      <c r="A24" s="54">
        <v>12</v>
      </c>
      <c r="B24" s="11" t="s">
        <v>7</v>
      </c>
      <c r="C24" s="12">
        <f>COUNTIFS('Gutachtenstatistik - Rohdaten'!H:H, 3, 'Gutachtenstatistik - Rohdaten'!I:I, 2, 'Gutachtenstatistik - Rohdaten'!J:J, 4, 'Gutachtenstatistik - Rohdaten'!L:L, 2, 'Gutachtenstatistik - Rohdaten'!M:M, 1)</f>
        <v>0</v>
      </c>
      <c r="D24" s="12">
        <f>COUNTIFS('Gutachtenstatistik - Rohdaten'!H:H, 3, 'Gutachtenstatistik - Rohdaten'!I:I, 2, 'Gutachtenstatistik - Rohdaten'!J:J, 4, 'Gutachtenstatistik - Rohdaten'!L:L, 2, 'Gutachtenstatistik - Rohdaten'!M:M, 2)</f>
        <v>0</v>
      </c>
      <c r="E24" s="21">
        <f>COUNTIFS('Gutachtenstatistik - Rohdaten'!H:H, 3, 'Gutachtenstatistik - Rohdaten'!I:I, 2, 'Gutachtenstatistik - Rohdaten'!J:J, 4, 'Gutachtenstatistik - Rohdaten'!L:L, 2, 'Gutachtenstatistik - Rohdaten'!M:M, 3)</f>
        <v>0</v>
      </c>
      <c r="F24" s="34"/>
      <c r="G24" s="49">
        <f>COUNTIFS('Gutachtenstatistik - Rohdaten'!H:H, 3, 'Gutachtenstatistik - Rohdaten'!I:I, 2, 'Gutachtenstatistik - Rohdaten'!J:J, 4, 'Gutachtenstatistik - Rohdaten'!L:L, 2)</f>
        <v>0</v>
      </c>
      <c r="H24" s="15" t="str">
        <f>IF(G24=(C24+D24+E24), "Quersumme ok", "nicht korrekt")</f>
        <v>Quersumme ok</v>
      </c>
    </row>
    <row r="25" spans="1:9" ht="23.25" customHeight="1" thickBot="1" x14ac:dyDescent="0.3">
      <c r="A25" s="54">
        <v>13</v>
      </c>
      <c r="B25" s="41" t="s">
        <v>8</v>
      </c>
      <c r="C25" s="25" t="str">
        <f>IF(C10=(C21+C22+C23+C24), "ok", "nicht korrekt")</f>
        <v>ok</v>
      </c>
      <c r="D25" s="25" t="str">
        <f>IF(D10=(D21+D22+D23+D24), "ok", "nicht korrekt")</f>
        <v>ok</v>
      </c>
      <c r="E25" s="25" t="str">
        <f>IF(E10=(E21+E22+E23+E24), "ok", "nicht korrekt")</f>
        <v>ok</v>
      </c>
      <c r="F25" s="25"/>
      <c r="G25" s="25" t="str">
        <f>IF(G10=(G21+G22+G23+G24), "ok", "nicht korrekt")</f>
        <v>ok</v>
      </c>
      <c r="H25" s="15"/>
    </row>
    <row r="26" spans="1:9" ht="25.5" customHeight="1" thickTop="1" thickBot="1" x14ac:dyDescent="0.3">
      <c r="A26" s="54">
        <v>14</v>
      </c>
      <c r="B26" s="44" t="s">
        <v>92</v>
      </c>
      <c r="C26" s="26">
        <f>COUNTIFS('Gutachtenstatistik - Rohdaten'!H:H, 3, 'Gutachtenstatistik - Rohdaten'!I:I, 2, 'Gutachtenstatistik - Rohdaten'!L:L, 1, 'Gutachtenstatistik - Rohdaten'!M:M, 1)</f>
        <v>0</v>
      </c>
      <c r="D26" s="8">
        <f>COUNTIFS('Gutachtenstatistik - Rohdaten'!H:H, 3, 'Gutachtenstatistik - Rohdaten'!I:I, 2, 'Gutachtenstatistik - Rohdaten'!L:L, 1, 'Gutachtenstatistik - Rohdaten'!M:M, 2)</f>
        <v>0</v>
      </c>
      <c r="E26" s="22">
        <f>COUNTIFS('Gutachtenstatistik - Rohdaten'!H:H, 3, 'Gutachtenstatistik - Rohdaten'!I:I, 2, 'Gutachtenstatistik - Rohdaten'!L:L, 1, 'Gutachtenstatistik - Rohdaten'!M:M, 3)</f>
        <v>0</v>
      </c>
      <c r="F26" s="42"/>
      <c r="G26" s="50">
        <f>COUNTIFS('Gutachtenstatistik - Rohdaten'!H:H, 3, 'Gutachtenstatistik - Rohdaten'!I:I, 2, 'Gutachtenstatistik - Rohdaten'!L:L, 1)</f>
        <v>0</v>
      </c>
      <c r="H26" s="15" t="str">
        <f>IF(G26=(C26+D26+E26), "Quersumme ok", "nicht korrekt")</f>
        <v>Quersumme ok</v>
      </c>
    </row>
    <row r="27" spans="1:9" ht="15.75" customHeight="1" thickTop="1" thickBot="1" x14ac:dyDescent="0.3">
      <c r="A27" s="54"/>
      <c r="B27" s="45" t="s">
        <v>98</v>
      </c>
      <c r="C27" s="89"/>
      <c r="D27" s="90"/>
      <c r="E27" s="28"/>
      <c r="F27" s="17"/>
      <c r="G27" s="28"/>
      <c r="H27" s="15"/>
    </row>
    <row r="28" spans="1:9" ht="39" customHeight="1" thickBot="1" x14ac:dyDescent="0.3">
      <c r="A28" s="54"/>
      <c r="B28" s="113" t="s">
        <v>123</v>
      </c>
      <c r="C28" s="114"/>
      <c r="D28" s="91" t="s">
        <v>121</v>
      </c>
      <c r="E28" s="92" t="s">
        <v>122</v>
      </c>
      <c r="F28" s="27"/>
      <c r="G28" s="27"/>
      <c r="H28" s="98" t="s">
        <v>129</v>
      </c>
    </row>
    <row r="29" spans="1:9" ht="30" customHeight="1" x14ac:dyDescent="0.25">
      <c r="A29" s="54">
        <v>15</v>
      </c>
      <c r="B29" s="115" t="s">
        <v>126</v>
      </c>
      <c r="C29" s="116"/>
      <c r="D29" s="93">
        <f>SUMIFS('Gutachtenstatistik - Rohdaten'!N:N, 'Gutachtenstatistik - Rohdaten'!H:H, 3, 'Gutachtenstatistik - Rohdaten'!I:I, 2)</f>
        <v>0</v>
      </c>
      <c r="E29" s="94">
        <f>SUMIFS('Gutachtenstatistik - Rohdaten'!O:O, 'Gutachtenstatistik - Rohdaten'!H:H, 3, 'Gutachtenstatistik - Rohdaten'!I:I, 2)</f>
        <v>0</v>
      </c>
      <c r="F29" s="14"/>
      <c r="G29" s="83" t="str">
        <f>IF(E29&lt;=D29, "ok", "nicht korrekt; Anzahl der beantragten TE muss gleich oder größer sein als die Anzahl der befürworteten TE")</f>
        <v>ok</v>
      </c>
      <c r="H29" s="97" t="e">
        <f>E29/D29</f>
        <v>#DIV/0!</v>
      </c>
    </row>
    <row r="30" spans="1:9" ht="26.25" customHeight="1" thickBot="1" x14ac:dyDescent="0.3">
      <c r="A30" s="54">
        <v>16</v>
      </c>
      <c r="B30" s="117" t="s">
        <v>127</v>
      </c>
      <c r="C30" s="118"/>
      <c r="D30" s="95">
        <f>SUMIFS('Gutachtenstatistik - Rohdaten'!P:P, 'Gutachtenstatistik - Rohdaten'!H:H, 3, 'Gutachtenstatistik - Rohdaten'!I:I, 2)</f>
        <v>0</v>
      </c>
      <c r="E30" s="96">
        <f>SUMIFS('Gutachtenstatistik - Rohdaten'!Q:Q, 'Gutachtenstatistik - Rohdaten'!H:H, 3, 'Gutachtenstatistik - Rohdaten'!I:I, 2)</f>
        <v>0</v>
      </c>
      <c r="F30" s="17"/>
      <c r="G30" s="83" t="str">
        <f>IF(E30&lt;=D30, "ok", "nicht korrekt; Anzahl der beantragten TE muss gleich oder größer sein als die Anzahl der befürworteten TE")</f>
        <v>ok</v>
      </c>
      <c r="H30" s="97" t="e">
        <f>E30/D30</f>
        <v>#DIV/0!</v>
      </c>
    </row>
    <row r="31" spans="1:9" ht="7.5" customHeight="1" x14ac:dyDescent="0.25">
      <c r="A31" s="54"/>
      <c r="B31" s="51"/>
      <c r="C31" s="51"/>
      <c r="D31" s="52"/>
      <c r="E31" s="17"/>
      <c r="F31" s="17"/>
      <c r="G31" s="13"/>
      <c r="H31" s="1"/>
    </row>
    <row r="32" spans="1:9" ht="45.75" customHeight="1" x14ac:dyDescent="0.25">
      <c r="B32" s="105" t="s">
        <v>128</v>
      </c>
      <c r="C32" s="106"/>
      <c r="D32" s="106"/>
      <c r="E32" s="106"/>
      <c r="F32" s="106"/>
      <c r="G32" s="107"/>
      <c r="H32" s="1"/>
      <c r="I32" s="23"/>
    </row>
    <row r="33" spans="2:8" customFormat="1" ht="28.35" customHeight="1" x14ac:dyDescent="0.25">
      <c r="B33" s="1"/>
      <c r="C33" s="1"/>
      <c r="D33" s="1"/>
      <c r="E33" s="1"/>
      <c r="F33" s="1"/>
      <c r="G33" s="1"/>
      <c r="H33" s="1"/>
    </row>
    <row r="34" spans="2:8" customFormat="1" ht="28.35" customHeight="1" x14ac:dyDescent="0.25">
      <c r="B34" s="1"/>
      <c r="C34" s="1"/>
      <c r="D34" s="1"/>
      <c r="E34" s="1"/>
      <c r="F34" s="1"/>
      <c r="G34" s="1"/>
      <c r="H34" s="1"/>
    </row>
    <row r="35" spans="2:8" customFormat="1" ht="27.75" customHeight="1" x14ac:dyDescent="0.25">
      <c r="B35" s="1"/>
      <c r="C35" s="1"/>
      <c r="D35" s="1"/>
      <c r="E35" s="1"/>
      <c r="F35" s="1"/>
      <c r="G35" s="1"/>
      <c r="H35" s="1"/>
    </row>
    <row r="36" spans="2:8" customFormat="1" ht="28.35" customHeight="1" x14ac:dyDescent="0.25">
      <c r="B36" s="1"/>
      <c r="C36" s="1"/>
      <c r="D36" s="1"/>
      <c r="E36" s="1"/>
      <c r="F36" s="1"/>
      <c r="G36" s="1"/>
      <c r="H36" s="1"/>
    </row>
    <row r="37" spans="2:8" customFormat="1" ht="17.100000000000001" customHeight="1" x14ac:dyDescent="0.25">
      <c r="B37" s="1"/>
      <c r="C37" s="1"/>
      <c r="D37" s="1"/>
      <c r="E37" s="1"/>
      <c r="F37" s="1"/>
      <c r="G37" s="1"/>
      <c r="H37" s="1"/>
    </row>
    <row r="38" spans="2:8" customFormat="1" ht="27" customHeight="1" x14ac:dyDescent="0.25">
      <c r="B38" s="1"/>
      <c r="C38" s="1"/>
      <c r="D38" s="1"/>
      <c r="E38" s="1"/>
      <c r="F38" s="1"/>
      <c r="G38" s="1"/>
      <c r="H38" s="1"/>
    </row>
    <row r="39" spans="2:8" customFormat="1" ht="27" customHeight="1" x14ac:dyDescent="0.25">
      <c r="B39" s="1"/>
      <c r="C39" s="1"/>
      <c r="D39" s="1"/>
      <c r="E39" s="1"/>
      <c r="F39" s="1"/>
      <c r="G39" s="1"/>
      <c r="H39" s="1"/>
    </row>
    <row r="40" spans="2:8" customFormat="1" ht="27" customHeight="1" x14ac:dyDescent="0.25">
      <c r="B40" s="1"/>
      <c r="C40" s="1"/>
      <c r="D40" s="1"/>
      <c r="E40" s="1"/>
      <c r="F40" s="1"/>
      <c r="G40" s="1"/>
      <c r="H40" s="1"/>
    </row>
    <row r="41" spans="2:8" customFormat="1" x14ac:dyDescent="0.25">
      <c r="B41" s="1"/>
      <c r="C41" s="1"/>
      <c r="D41" s="1"/>
      <c r="E41" s="1"/>
      <c r="F41" s="1"/>
      <c r="G41" s="1"/>
      <c r="H41" s="1"/>
    </row>
    <row r="42" spans="2:8" customFormat="1" x14ac:dyDescent="0.25">
      <c r="B42" s="1"/>
      <c r="C42" s="1"/>
      <c r="D42" s="1"/>
      <c r="E42" s="1"/>
      <c r="F42" s="1"/>
      <c r="G42" s="1"/>
      <c r="H42" s="1"/>
    </row>
    <row r="43" spans="2:8" customFormat="1" x14ac:dyDescent="0.25">
      <c r="B43" s="1"/>
      <c r="C43" s="1"/>
      <c r="D43" s="1"/>
      <c r="E43" s="1"/>
      <c r="F43" s="1"/>
      <c r="G43" s="1"/>
      <c r="H43" s="1"/>
    </row>
    <row r="44" spans="2:8" customFormat="1" x14ac:dyDescent="0.25">
      <c r="B44" s="1"/>
      <c r="C44" s="1"/>
      <c r="D44" s="1"/>
      <c r="E44" s="1"/>
      <c r="F44" s="1"/>
      <c r="G44" s="1"/>
      <c r="H44" s="1"/>
    </row>
    <row r="45" spans="2:8" customFormat="1" x14ac:dyDescent="0.25">
      <c r="B45" s="1"/>
      <c r="C45" s="1"/>
      <c r="D45" s="1"/>
      <c r="E45" s="1"/>
      <c r="F45" s="1"/>
      <c r="G45" s="1"/>
      <c r="H45" s="1"/>
    </row>
    <row r="46" spans="2:8" customFormat="1" x14ac:dyDescent="0.25">
      <c r="B46" s="1"/>
      <c r="C46" s="1"/>
      <c r="D46" s="1"/>
      <c r="E46" s="1"/>
      <c r="F46" s="1"/>
      <c r="G46" s="1"/>
      <c r="H46" s="1"/>
    </row>
  </sheetData>
  <mergeCells count="12">
    <mergeCell ref="C7:G7"/>
    <mergeCell ref="B28:C28"/>
    <mergeCell ref="B29:C29"/>
    <mergeCell ref="B30:C30"/>
    <mergeCell ref="B32:G32"/>
    <mergeCell ref="C8:G8"/>
    <mergeCell ref="C6:G6"/>
    <mergeCell ref="B1:G1"/>
    <mergeCell ref="C2:G2"/>
    <mergeCell ref="C3:G3"/>
    <mergeCell ref="C4:G4"/>
    <mergeCell ref="C5:G5"/>
  </mergeCells>
  <pageMargins left="0.25" right="0.25" top="0.75" bottom="0.75" header="0.3" footer="0.3"/>
  <pageSetup paperSize="9" orientation="portrait" r:id="rId1"/>
  <headerFooter>
    <oddHeader>&amp;C&amp;"-,Fett"&amp;14GUTACHTENSTATISTIK</oddHeader>
    <oddFooter>&amp;L&amp;9Seite &amp;P von &amp;N /  KBV  /  Gutachterstatistik Auswertungsmatrix  / Juli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
  <sheetViews>
    <sheetView workbookViewId="0"/>
  </sheetViews>
  <sheetFormatPr baseColWidth="10" defaultRowHeight="15" x14ac:dyDescent="0.25"/>
  <cols>
    <col min="1" max="1" width="32" customWidth="1"/>
    <col min="2" max="2" width="69.140625" customWidth="1"/>
    <col min="3" max="3" width="34.28515625" customWidth="1"/>
    <col min="4" max="4" width="21.140625" customWidth="1"/>
    <col min="5" max="5" width="23.5703125" customWidth="1"/>
    <col min="6" max="6" width="22.42578125" customWidth="1"/>
    <col min="7" max="7" width="26.5703125" customWidth="1"/>
    <col min="8" max="8" width="30.85546875" customWidth="1"/>
  </cols>
  <sheetData>
    <row r="1" spans="1:9" ht="30.75" customHeight="1" x14ac:dyDescent="0.25">
      <c r="A1" s="68" t="s">
        <v>120</v>
      </c>
      <c r="B1" s="69" t="s">
        <v>44</v>
      </c>
      <c r="C1" s="69" t="s">
        <v>45</v>
      </c>
      <c r="D1" s="70"/>
      <c r="E1" s="70"/>
      <c r="F1" s="70"/>
      <c r="G1" s="70"/>
      <c r="H1" s="70"/>
      <c r="I1" s="70"/>
    </row>
    <row r="2" spans="1:9" x14ac:dyDescent="0.25">
      <c r="A2" s="71" t="s">
        <v>46</v>
      </c>
      <c r="B2" s="72" t="s">
        <v>47</v>
      </c>
      <c r="C2" s="73" t="s">
        <v>48</v>
      </c>
      <c r="D2" s="74"/>
      <c r="E2" s="75"/>
      <c r="F2" s="75"/>
      <c r="G2" s="75"/>
      <c r="H2" s="75"/>
      <c r="I2" s="75"/>
    </row>
    <row r="3" spans="1:9" x14ac:dyDescent="0.25">
      <c r="A3" s="71" t="s">
        <v>46</v>
      </c>
      <c r="B3" s="72" t="s">
        <v>34</v>
      </c>
      <c r="C3" s="73" t="s">
        <v>49</v>
      </c>
      <c r="D3" s="74"/>
      <c r="E3" s="75"/>
      <c r="F3" s="75"/>
      <c r="G3" s="75"/>
      <c r="H3" s="75"/>
      <c r="I3" s="75"/>
    </row>
    <row r="4" spans="1:9" x14ac:dyDescent="0.25">
      <c r="A4" s="71" t="s">
        <v>46</v>
      </c>
      <c r="B4" s="72" t="s">
        <v>35</v>
      </c>
      <c r="C4" s="73" t="s">
        <v>50</v>
      </c>
      <c r="D4" s="74"/>
      <c r="E4" s="75"/>
      <c r="F4" s="75"/>
      <c r="G4" s="75"/>
      <c r="H4" s="75"/>
      <c r="I4" s="75"/>
    </row>
    <row r="5" spans="1:9" x14ac:dyDescent="0.25">
      <c r="A5" s="71" t="s">
        <v>46</v>
      </c>
      <c r="B5" s="72" t="s">
        <v>36</v>
      </c>
      <c r="C5" s="73" t="s">
        <v>51</v>
      </c>
      <c r="D5" s="74"/>
      <c r="E5" s="75"/>
      <c r="F5" s="75"/>
      <c r="G5" s="75"/>
      <c r="H5" s="75"/>
      <c r="I5" s="75"/>
    </row>
    <row r="6" spans="1:9" x14ac:dyDescent="0.25">
      <c r="A6" s="71" t="s">
        <v>46</v>
      </c>
      <c r="B6" s="72" t="s">
        <v>37</v>
      </c>
      <c r="C6" s="73" t="s">
        <v>51</v>
      </c>
      <c r="D6" s="74"/>
      <c r="E6" s="75"/>
      <c r="F6" s="75"/>
      <c r="G6" s="75"/>
      <c r="H6" s="75"/>
      <c r="I6" s="75"/>
    </row>
    <row r="7" spans="1:9" x14ac:dyDescent="0.25">
      <c r="A7" s="71" t="s">
        <v>46</v>
      </c>
      <c r="B7" s="72" t="s">
        <v>38</v>
      </c>
      <c r="C7" s="73" t="s">
        <v>51</v>
      </c>
      <c r="D7" s="74"/>
      <c r="E7" s="75"/>
      <c r="F7" s="75"/>
      <c r="G7" s="75"/>
      <c r="H7" s="75"/>
      <c r="I7" s="75"/>
    </row>
    <row r="8" spans="1:9" x14ac:dyDescent="0.25">
      <c r="A8" s="71" t="s">
        <v>46</v>
      </c>
      <c r="B8" s="72" t="s">
        <v>39</v>
      </c>
      <c r="C8" s="73" t="s">
        <v>51</v>
      </c>
      <c r="D8" s="74"/>
      <c r="E8" s="75"/>
      <c r="F8" s="75"/>
      <c r="G8" s="75"/>
      <c r="H8" s="75"/>
      <c r="I8" s="75"/>
    </row>
    <row r="9" spans="1:9" x14ac:dyDescent="0.25">
      <c r="A9" s="76" t="s">
        <v>52</v>
      </c>
      <c r="B9" s="76" t="s">
        <v>97</v>
      </c>
      <c r="C9" s="77" t="s">
        <v>53</v>
      </c>
      <c r="D9" s="77" t="s">
        <v>54</v>
      </c>
      <c r="E9" s="77" t="s">
        <v>55</v>
      </c>
      <c r="F9" s="78" t="s">
        <v>96</v>
      </c>
      <c r="G9" s="71"/>
      <c r="H9" s="71"/>
      <c r="I9" s="71"/>
    </row>
    <row r="10" spans="1:9" x14ac:dyDescent="0.25">
      <c r="A10" s="76" t="s">
        <v>52</v>
      </c>
      <c r="B10" s="76" t="s">
        <v>109</v>
      </c>
      <c r="C10" s="77" t="s">
        <v>56</v>
      </c>
      <c r="D10" s="77" t="s">
        <v>57</v>
      </c>
      <c r="E10" s="71"/>
      <c r="F10" s="71"/>
      <c r="G10" s="71"/>
      <c r="H10" s="71"/>
      <c r="I10" s="71"/>
    </row>
    <row r="11" spans="1:9" ht="30" x14ac:dyDescent="0.25">
      <c r="A11" s="76" t="s">
        <v>52</v>
      </c>
      <c r="B11" s="76" t="s">
        <v>110</v>
      </c>
      <c r="C11" s="77" t="s">
        <v>58</v>
      </c>
      <c r="D11" s="77" t="s">
        <v>59</v>
      </c>
      <c r="E11" s="78" t="s">
        <v>60</v>
      </c>
      <c r="F11" s="78" t="s">
        <v>61</v>
      </c>
      <c r="G11" s="71"/>
      <c r="H11" s="71"/>
      <c r="I11" s="71"/>
    </row>
    <row r="12" spans="1:9" ht="45" x14ac:dyDescent="0.25">
      <c r="A12" s="76" t="s">
        <v>52</v>
      </c>
      <c r="B12" s="76" t="s">
        <v>111</v>
      </c>
      <c r="C12" s="77" t="s">
        <v>62</v>
      </c>
      <c r="D12" s="77" t="s">
        <v>63</v>
      </c>
      <c r="E12" s="78" t="s">
        <v>64</v>
      </c>
      <c r="F12" s="78" t="s">
        <v>65</v>
      </c>
      <c r="G12" s="78" t="s">
        <v>66</v>
      </c>
      <c r="H12" s="78" t="s">
        <v>67</v>
      </c>
      <c r="I12" s="79"/>
    </row>
    <row r="13" spans="1:9" x14ac:dyDescent="0.25">
      <c r="A13" s="76" t="s">
        <v>52</v>
      </c>
      <c r="B13" s="76" t="s">
        <v>112</v>
      </c>
      <c r="C13" s="77" t="s">
        <v>68</v>
      </c>
      <c r="D13" s="77" t="s">
        <v>69</v>
      </c>
      <c r="E13" s="71"/>
      <c r="F13" s="71"/>
      <c r="G13" s="71"/>
      <c r="H13" s="71"/>
      <c r="I13" s="71"/>
    </row>
    <row r="14" spans="1:9" ht="30" x14ac:dyDescent="0.25">
      <c r="A14" s="76" t="s">
        <v>52</v>
      </c>
      <c r="B14" s="76" t="s">
        <v>113</v>
      </c>
      <c r="C14" s="77" t="s">
        <v>70</v>
      </c>
      <c r="D14" s="77" t="s">
        <v>71</v>
      </c>
      <c r="E14" s="78" t="s">
        <v>72</v>
      </c>
      <c r="F14" s="71"/>
      <c r="G14" s="71"/>
      <c r="H14" s="71"/>
      <c r="I14" s="71"/>
    </row>
    <row r="15" spans="1:9" x14ac:dyDescent="0.25">
      <c r="A15" s="76" t="s">
        <v>52</v>
      </c>
      <c r="B15" s="76" t="s">
        <v>114</v>
      </c>
      <c r="C15" s="77" t="s">
        <v>118</v>
      </c>
      <c r="D15" s="80"/>
      <c r="E15" s="79"/>
      <c r="F15" s="71"/>
      <c r="G15" s="71"/>
      <c r="H15" s="71"/>
      <c r="I15" s="71"/>
    </row>
    <row r="16" spans="1:9" x14ac:dyDescent="0.25">
      <c r="A16" s="76" t="s">
        <v>52</v>
      </c>
      <c r="B16" s="76" t="s">
        <v>115</v>
      </c>
      <c r="C16" s="77" t="s">
        <v>118</v>
      </c>
      <c r="D16" s="80"/>
      <c r="E16" s="79"/>
      <c r="F16" s="71"/>
      <c r="G16" s="71"/>
      <c r="H16" s="71"/>
      <c r="I16" s="71"/>
    </row>
    <row r="17" spans="1:9" ht="30" x14ac:dyDescent="0.25">
      <c r="A17" s="76" t="s">
        <v>52</v>
      </c>
      <c r="B17" s="76" t="s">
        <v>116</v>
      </c>
      <c r="C17" s="77" t="s">
        <v>118</v>
      </c>
      <c r="D17" s="80"/>
      <c r="E17" s="79"/>
      <c r="F17" s="71"/>
      <c r="G17" s="71"/>
      <c r="H17" s="71"/>
      <c r="I17" s="71"/>
    </row>
    <row r="18" spans="1:9" ht="30" x14ac:dyDescent="0.25">
      <c r="A18" s="76" t="s">
        <v>52</v>
      </c>
      <c r="B18" s="76" t="s">
        <v>117</v>
      </c>
      <c r="C18" s="77" t="s">
        <v>118</v>
      </c>
      <c r="D18" s="80"/>
      <c r="E18" s="79"/>
      <c r="F18" s="71"/>
      <c r="G18" s="71"/>
      <c r="H18" s="71"/>
      <c r="I18" s="71"/>
    </row>
    <row r="19" spans="1:9" ht="30" x14ac:dyDescent="0.25">
      <c r="A19" s="71" t="s">
        <v>46</v>
      </c>
      <c r="B19" s="72" t="s">
        <v>74</v>
      </c>
      <c r="C19" s="77" t="s">
        <v>75</v>
      </c>
      <c r="D19" s="77" t="s">
        <v>76</v>
      </c>
      <c r="E19" s="78" t="s">
        <v>77</v>
      </c>
      <c r="F19" s="78" t="s">
        <v>78</v>
      </c>
      <c r="G19" s="78" t="s">
        <v>79</v>
      </c>
      <c r="H19" s="78" t="s">
        <v>80</v>
      </c>
      <c r="I19" s="78" t="s">
        <v>81</v>
      </c>
    </row>
    <row r="20" spans="1:9" x14ac:dyDescent="0.25">
      <c r="A20" s="71" t="s">
        <v>46</v>
      </c>
      <c r="B20" s="72" t="s">
        <v>82</v>
      </c>
      <c r="C20" s="77" t="s">
        <v>73</v>
      </c>
      <c r="D20" s="80"/>
      <c r="E20" s="79"/>
      <c r="F20" s="79"/>
      <c r="G20" s="79"/>
      <c r="H20" s="79"/>
      <c r="I20" s="79"/>
    </row>
    <row r="21" spans="1:9" ht="30" x14ac:dyDescent="0.25">
      <c r="A21" s="71" t="s">
        <v>46</v>
      </c>
      <c r="B21" s="72" t="s">
        <v>107</v>
      </c>
      <c r="C21" s="88" t="s">
        <v>93</v>
      </c>
      <c r="D21" s="80"/>
      <c r="E21" s="71"/>
      <c r="F21" s="71"/>
      <c r="G21" s="71"/>
      <c r="H21" s="71"/>
      <c r="I21" s="71"/>
    </row>
    <row r="22" spans="1:9" ht="30" x14ac:dyDescent="0.25">
      <c r="A22" s="71" t="s">
        <v>46</v>
      </c>
      <c r="B22" s="72" t="s">
        <v>108</v>
      </c>
      <c r="C22" s="88" t="s">
        <v>93</v>
      </c>
      <c r="D22" s="80"/>
      <c r="E22" s="71"/>
      <c r="F22" s="71"/>
      <c r="G22" s="71"/>
      <c r="H22" s="71"/>
      <c r="I22" s="71"/>
    </row>
    <row r="23" spans="1:9" x14ac:dyDescent="0.25">
      <c r="A23" s="71" t="s">
        <v>46</v>
      </c>
      <c r="B23" s="72" t="s">
        <v>83</v>
      </c>
      <c r="C23" s="77" t="s">
        <v>51</v>
      </c>
      <c r="D23" s="80"/>
      <c r="E23" s="79"/>
      <c r="F23" s="71"/>
      <c r="G23" s="71"/>
      <c r="H23" s="71"/>
      <c r="I23" s="71"/>
    </row>
    <row r="24" spans="1:9" x14ac:dyDescent="0.25">
      <c r="A24" s="71" t="s">
        <v>46</v>
      </c>
      <c r="B24" s="72" t="s">
        <v>84</v>
      </c>
      <c r="C24" s="77" t="s">
        <v>51</v>
      </c>
      <c r="D24" s="80"/>
      <c r="E24" s="79"/>
      <c r="F24" s="79"/>
      <c r="G24" s="79"/>
      <c r="H24" s="79"/>
      <c r="I24" s="79"/>
    </row>
    <row r="27" spans="1:9" ht="75" x14ac:dyDescent="0.25">
      <c r="B27" s="81" t="s">
        <v>119</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6"/>
  <sheetViews>
    <sheetView view="pageLayout" zoomScaleNormal="100" workbookViewId="0">
      <selection activeCell="C2" sqref="C2:G2"/>
    </sheetView>
  </sheetViews>
  <sheetFormatPr baseColWidth="10" defaultColWidth="9.140625" defaultRowHeight="15" x14ac:dyDescent="0.25"/>
  <cols>
    <col min="1" max="1" width="4.28515625" style="53" customWidth="1"/>
    <col min="2" max="2" width="24.5703125" customWidth="1"/>
    <col min="3" max="3" width="14" customWidth="1"/>
    <col min="4" max="4" width="13.85546875" customWidth="1"/>
    <col min="5" max="5" width="14" customWidth="1"/>
    <col min="6" max="6" width="2" customWidth="1"/>
    <col min="7" max="7" width="13.140625" customWidth="1"/>
    <col min="9" max="9" width="7.28515625" customWidth="1"/>
    <col min="10" max="10" width="23.28515625" customWidth="1"/>
    <col min="11" max="11" width="13.42578125" customWidth="1"/>
    <col min="12" max="12" width="13.28515625" customWidth="1"/>
    <col min="13" max="13" width="12.7109375" customWidth="1"/>
    <col min="14" max="14" width="3" customWidth="1"/>
    <col min="15" max="15" width="12.140625" customWidth="1"/>
  </cols>
  <sheetData>
    <row r="1" spans="1:8" ht="22.5" customHeight="1" x14ac:dyDescent="0.25">
      <c r="B1" s="102" t="s">
        <v>91</v>
      </c>
      <c r="C1" s="102"/>
      <c r="D1" s="102"/>
      <c r="E1" s="102"/>
      <c r="F1" s="102"/>
      <c r="G1" s="102"/>
      <c r="H1" s="1"/>
    </row>
    <row r="2" spans="1:8" ht="17.100000000000001" customHeight="1" x14ac:dyDescent="0.25">
      <c r="A2" s="54"/>
      <c r="B2" s="24" t="s">
        <v>13</v>
      </c>
      <c r="C2" s="99"/>
      <c r="D2" s="99"/>
      <c r="E2" s="99"/>
      <c r="F2" s="99"/>
      <c r="G2" s="99"/>
      <c r="H2" s="1"/>
    </row>
    <row r="3" spans="1:8" ht="17.100000000000001" customHeight="1" x14ac:dyDescent="0.25">
      <c r="A3" s="54"/>
      <c r="B3" s="24" t="s">
        <v>12</v>
      </c>
      <c r="C3" s="100"/>
      <c r="D3" s="100"/>
      <c r="E3" s="100"/>
      <c r="F3" s="100"/>
      <c r="G3" s="100"/>
      <c r="H3" s="1"/>
    </row>
    <row r="4" spans="1:8" ht="17.100000000000001" customHeight="1" x14ac:dyDescent="0.25">
      <c r="A4" s="54"/>
      <c r="B4" s="24" t="s">
        <v>14</v>
      </c>
      <c r="C4" s="101"/>
      <c r="D4" s="101"/>
      <c r="E4" s="101"/>
      <c r="F4" s="101"/>
      <c r="G4" s="101"/>
      <c r="H4" s="1"/>
    </row>
    <row r="5" spans="1:8" ht="17.100000000000001" customHeight="1" x14ac:dyDescent="0.25">
      <c r="A5" s="54"/>
      <c r="B5" s="24" t="s">
        <v>20</v>
      </c>
      <c r="C5" s="100"/>
      <c r="D5" s="100"/>
      <c r="E5" s="100"/>
      <c r="F5" s="100"/>
      <c r="G5" s="100"/>
      <c r="H5" s="1"/>
    </row>
    <row r="6" spans="1:8" ht="17.100000000000001" customHeight="1" x14ac:dyDescent="0.25">
      <c r="A6" s="54"/>
      <c r="B6" s="24" t="s">
        <v>85</v>
      </c>
      <c r="C6" s="101"/>
      <c r="D6" s="101"/>
      <c r="E6" s="101"/>
      <c r="F6" s="101"/>
      <c r="G6" s="101"/>
      <c r="H6" s="1"/>
    </row>
    <row r="7" spans="1:8" ht="17.100000000000001" customHeight="1" x14ac:dyDescent="0.25">
      <c r="A7" s="54"/>
      <c r="B7" s="43" t="s">
        <v>15</v>
      </c>
      <c r="C7" s="110"/>
      <c r="D7" s="110"/>
      <c r="E7" s="110"/>
      <c r="F7" s="110"/>
      <c r="G7" s="110"/>
      <c r="H7" s="2"/>
    </row>
    <row r="8" spans="1:8" ht="17.100000000000001" customHeight="1" thickBot="1" x14ac:dyDescent="0.3">
      <c r="A8" s="54"/>
      <c r="B8" s="24" t="s">
        <v>21</v>
      </c>
      <c r="C8" s="100" t="s">
        <v>23</v>
      </c>
      <c r="D8" s="100"/>
      <c r="E8" s="100"/>
      <c r="F8" s="100"/>
      <c r="G8" s="100"/>
    </row>
    <row r="9" spans="1:8" ht="27.75" customHeight="1" thickBot="1" x14ac:dyDescent="0.3">
      <c r="A9" s="54"/>
      <c r="B9" s="3"/>
      <c r="C9" s="4" t="s">
        <v>16</v>
      </c>
      <c r="D9" s="4" t="s">
        <v>17</v>
      </c>
      <c r="E9" s="18" t="s">
        <v>18</v>
      </c>
      <c r="F9" s="36"/>
      <c r="G9" s="32" t="s">
        <v>19</v>
      </c>
      <c r="H9" s="1"/>
    </row>
    <row r="10" spans="1:8" ht="22.5" customHeight="1" thickTop="1" thickBot="1" x14ac:dyDescent="0.3">
      <c r="A10" s="54">
        <v>1</v>
      </c>
      <c r="B10" s="16" t="s">
        <v>22</v>
      </c>
      <c r="C10" s="5">
        <f>COUNTIFS('Gutachtenstatistik - Rohdaten'!H:H, 1, 'Gutachtenstatistik - Rohdaten'!I:I, 1, 'Gutachtenstatistik - Rohdaten'!L:L, 2, 'Gutachtenstatistik - Rohdaten'!M:M, 1)</f>
        <v>0</v>
      </c>
      <c r="D10" s="5">
        <f>COUNTIFS('Gutachtenstatistik - Rohdaten'!H:H, 1, 'Gutachtenstatistik - Rohdaten'!I:I, 1, 'Gutachtenstatistik - Rohdaten'!L:L, 2, 'Gutachtenstatistik - Rohdaten'!M:M, 2)</f>
        <v>0</v>
      </c>
      <c r="E10" s="31">
        <f>COUNTIFS('Gutachtenstatistik - Rohdaten'!H:H, 1, 'Gutachtenstatistik - Rohdaten'!I:I, 1, 'Gutachtenstatistik - Rohdaten'!L:L, 2, 'Gutachtenstatistik - Rohdaten'!M:M, 3)</f>
        <v>0</v>
      </c>
      <c r="F10" s="35"/>
      <c r="G10" s="33">
        <f>COUNTIFS('Gutachtenstatistik - Rohdaten'!H:H, 1, 'Gutachtenstatistik - Rohdaten'!I:I, 1, 'Gutachtenstatistik - Rohdaten'!L:L, 2)</f>
        <v>0</v>
      </c>
      <c r="H10" s="15" t="str">
        <f>IF(G10=(C10+D10+E10), "Quersumme ok", "nicht korrekt")</f>
        <v>Quersumme ok</v>
      </c>
    </row>
    <row r="11" spans="1:8" ht="6.75" customHeight="1" thickBot="1" x14ac:dyDescent="0.3">
      <c r="A11" s="54"/>
      <c r="B11" s="39"/>
      <c r="C11" s="38"/>
      <c r="D11" s="38"/>
      <c r="E11" s="38"/>
      <c r="F11" s="40"/>
      <c r="G11" s="38"/>
      <c r="H11" s="15"/>
    </row>
    <row r="12" spans="1:8" ht="25.5" customHeight="1" thickBot="1" x14ac:dyDescent="0.3">
      <c r="A12" s="54"/>
      <c r="B12" s="29" t="s">
        <v>10</v>
      </c>
      <c r="C12" s="30"/>
      <c r="D12" s="30"/>
      <c r="E12" s="30"/>
      <c r="F12" s="37"/>
      <c r="G12" s="46"/>
      <c r="H12" s="15"/>
    </row>
    <row r="13" spans="1:8" ht="25.5" customHeight="1" x14ac:dyDescent="0.25">
      <c r="A13" s="54">
        <v>2</v>
      </c>
      <c r="B13" s="6" t="s">
        <v>0</v>
      </c>
      <c r="C13" s="7">
        <f>COUNTIFS('Gutachtenstatistik - Rohdaten'!H:H, 1, 'Gutachtenstatistik - Rohdaten'!I:I, 1, 'Gutachtenstatistik - Rohdaten'!K:K, 1, 'Gutachtenstatistik - Rohdaten'!L:L, 2, 'Gutachtenstatistik - Rohdaten'!M:M, 1)</f>
        <v>0</v>
      </c>
      <c r="D13" s="7">
        <f>COUNTIFS('Gutachtenstatistik - Rohdaten'!H:H, 1, 'Gutachtenstatistik - Rohdaten'!I:I, 1, 'Gutachtenstatistik - Rohdaten'!K:K, 1, 'Gutachtenstatistik - Rohdaten'!L:L, 2, 'Gutachtenstatistik - Rohdaten'!M:M, 2)</f>
        <v>0</v>
      </c>
      <c r="E13" s="19">
        <f>COUNTIFS('Gutachtenstatistik - Rohdaten'!H:H, 1, 'Gutachtenstatistik - Rohdaten'!I:I, 1, 'Gutachtenstatistik - Rohdaten'!K:K, 1, 'Gutachtenstatistik - Rohdaten'!L:L, 2, 'Gutachtenstatistik - Rohdaten'!M:M, 3)</f>
        <v>0</v>
      </c>
      <c r="F13" s="34"/>
      <c r="G13" s="47">
        <f>COUNTIFS('Gutachtenstatistik - Rohdaten'!H:H, 1, 'Gutachtenstatistik - Rohdaten'!I:I, 1, 'Gutachtenstatistik - Rohdaten'!K:K, 1, 'Gutachtenstatistik - Rohdaten'!L:L, 2)</f>
        <v>0</v>
      </c>
      <c r="H13" s="15" t="str">
        <f t="shared" ref="H13:H18" si="0">IF(G13=(C13+D13+E13), "Quersumme ok", "nicht korrekt")</f>
        <v>Quersumme ok</v>
      </c>
    </row>
    <row r="14" spans="1:8" ht="25.5" customHeight="1" x14ac:dyDescent="0.25">
      <c r="A14" s="54">
        <v>3</v>
      </c>
      <c r="B14" s="9" t="s">
        <v>9</v>
      </c>
      <c r="C14" s="10">
        <f>COUNTIFS('Gutachtenstatistik - Rohdaten'!H:H, 1, 'Gutachtenstatistik - Rohdaten'!I:I, 1, 'Gutachtenstatistik - Rohdaten'!K:K, 2, 'Gutachtenstatistik - Rohdaten'!L:L, 2, 'Gutachtenstatistik - Rohdaten'!M:M, 1)</f>
        <v>0</v>
      </c>
      <c r="D14" s="10">
        <f>COUNTIFS('Gutachtenstatistik - Rohdaten'!H:H, 1, 'Gutachtenstatistik - Rohdaten'!I:I, 1, 'Gutachtenstatistik - Rohdaten'!K:K, 2, 'Gutachtenstatistik - Rohdaten'!L:L, 2, 'Gutachtenstatistik - Rohdaten'!M:M, 2)</f>
        <v>0</v>
      </c>
      <c r="E14" s="20">
        <f>COUNTIFS('Gutachtenstatistik - Rohdaten'!H:H, 1, 'Gutachtenstatistik - Rohdaten'!I:I, 1, 'Gutachtenstatistik - Rohdaten'!K:K, 2, 'Gutachtenstatistik - Rohdaten'!L:L, 2, 'Gutachtenstatistik - Rohdaten'!M:M, 3)</f>
        <v>0</v>
      </c>
      <c r="F14" s="34"/>
      <c r="G14" s="48">
        <f>COUNTIFS('Gutachtenstatistik - Rohdaten'!H:H, 1, 'Gutachtenstatistik - Rohdaten'!I:I, 1, 'Gutachtenstatistik - Rohdaten'!K:K, 2, 'Gutachtenstatistik - Rohdaten'!L:L, 2)</f>
        <v>0</v>
      </c>
      <c r="H14" s="15" t="str">
        <f t="shared" si="0"/>
        <v>Quersumme ok</v>
      </c>
    </row>
    <row r="15" spans="1:8" ht="25.5" customHeight="1" x14ac:dyDescent="0.25">
      <c r="A15" s="54">
        <v>4</v>
      </c>
      <c r="B15" s="9" t="s">
        <v>1</v>
      </c>
      <c r="C15" s="10">
        <f>COUNTIFS('Gutachtenstatistik - Rohdaten'!H:H, 1, 'Gutachtenstatistik - Rohdaten'!I:I, 1, 'Gutachtenstatistik - Rohdaten'!K:K, 3, 'Gutachtenstatistik - Rohdaten'!L:L, 2, 'Gutachtenstatistik - Rohdaten'!M:M, 1)</f>
        <v>0</v>
      </c>
      <c r="D15" s="10">
        <f>COUNTIFS('Gutachtenstatistik - Rohdaten'!H:H, 1, 'Gutachtenstatistik - Rohdaten'!I:I, 1, 'Gutachtenstatistik - Rohdaten'!K:K, 3, 'Gutachtenstatistik - Rohdaten'!L:L, 2, 'Gutachtenstatistik - Rohdaten'!M:M, 2)</f>
        <v>0</v>
      </c>
      <c r="E15" s="20">
        <f>COUNTIFS('Gutachtenstatistik - Rohdaten'!H:H, 1, 'Gutachtenstatistik - Rohdaten'!I:I, 1, 'Gutachtenstatistik - Rohdaten'!K:K, 3, 'Gutachtenstatistik - Rohdaten'!L:L, 2, 'Gutachtenstatistik - Rohdaten'!M:M, 3)</f>
        <v>0</v>
      </c>
      <c r="F15" s="34"/>
      <c r="G15" s="48">
        <f>COUNTIFS('Gutachtenstatistik - Rohdaten'!H:H, 1, 'Gutachtenstatistik - Rohdaten'!I:I, 1, 'Gutachtenstatistik - Rohdaten'!K:K, 3, 'Gutachtenstatistik - Rohdaten'!L:L, 2)</f>
        <v>0</v>
      </c>
      <c r="H15" s="15" t="str">
        <f t="shared" si="0"/>
        <v>Quersumme ok</v>
      </c>
    </row>
    <row r="16" spans="1:8" ht="25.5" customHeight="1" x14ac:dyDescent="0.25">
      <c r="A16" s="54">
        <v>5</v>
      </c>
      <c r="B16" s="9" t="s">
        <v>2</v>
      </c>
      <c r="C16" s="10">
        <f>COUNTIFS('Gutachtenstatistik - Rohdaten'!H:H, 1, 'Gutachtenstatistik - Rohdaten'!I:I, 1, 'Gutachtenstatistik - Rohdaten'!K:K, 4, 'Gutachtenstatistik - Rohdaten'!L:L, 2, 'Gutachtenstatistik - Rohdaten'!M:M, 1)</f>
        <v>0</v>
      </c>
      <c r="D16" s="10">
        <f>COUNTIFS('Gutachtenstatistik - Rohdaten'!H:H, 1, 'Gutachtenstatistik - Rohdaten'!I:I, 1, 'Gutachtenstatistik - Rohdaten'!K:K, 4, 'Gutachtenstatistik - Rohdaten'!L:L, 2, 'Gutachtenstatistik - Rohdaten'!M:M, 2)</f>
        <v>0</v>
      </c>
      <c r="E16" s="20">
        <f>COUNTIFS('Gutachtenstatistik - Rohdaten'!H:H, 1, 'Gutachtenstatistik - Rohdaten'!I:I, 1, 'Gutachtenstatistik - Rohdaten'!K:K, 4, 'Gutachtenstatistik - Rohdaten'!L:L, 2, 'Gutachtenstatistik - Rohdaten'!M:M, 3)</f>
        <v>0</v>
      </c>
      <c r="F16" s="34"/>
      <c r="G16" s="48">
        <f>COUNTIFS('Gutachtenstatistik - Rohdaten'!H:H, 1, 'Gutachtenstatistik - Rohdaten'!I:I, 1, 'Gutachtenstatistik - Rohdaten'!K:K, 4, 'Gutachtenstatistik - Rohdaten'!L:L, 2)</f>
        <v>0</v>
      </c>
      <c r="H16" s="15" t="str">
        <f t="shared" si="0"/>
        <v>Quersumme ok</v>
      </c>
    </row>
    <row r="17" spans="1:9" ht="25.5" customHeight="1" x14ac:dyDescent="0.25">
      <c r="A17" s="54">
        <v>6</v>
      </c>
      <c r="B17" s="9" t="s">
        <v>3</v>
      </c>
      <c r="C17" s="10">
        <f>COUNTIFS('Gutachtenstatistik - Rohdaten'!H:H, 1, 'Gutachtenstatistik - Rohdaten'!I:I, 1, 'Gutachtenstatistik - Rohdaten'!K:K, 5, 'Gutachtenstatistik - Rohdaten'!L:L, 2, 'Gutachtenstatistik - Rohdaten'!M:M, 1)</f>
        <v>0</v>
      </c>
      <c r="D17" s="10">
        <f>COUNTIFS('Gutachtenstatistik - Rohdaten'!H:H, 1, 'Gutachtenstatistik - Rohdaten'!I:I, 1, 'Gutachtenstatistik - Rohdaten'!K:K, 5, 'Gutachtenstatistik - Rohdaten'!L:L, 2, 'Gutachtenstatistik - Rohdaten'!M:M, 2)</f>
        <v>0</v>
      </c>
      <c r="E17" s="20">
        <f>COUNTIFS('Gutachtenstatistik - Rohdaten'!H:H, 1, 'Gutachtenstatistik - Rohdaten'!I:I, 1, 'Gutachtenstatistik - Rohdaten'!K:K, 5, 'Gutachtenstatistik - Rohdaten'!L:L, 2, 'Gutachtenstatistik - Rohdaten'!M:M, 3)</f>
        <v>0</v>
      </c>
      <c r="F17" s="34"/>
      <c r="G17" s="48">
        <f>COUNTIFS('Gutachtenstatistik - Rohdaten'!H:H, 1, 'Gutachtenstatistik - Rohdaten'!I:I, 1, 'Gutachtenstatistik - Rohdaten'!K:K, 5, 'Gutachtenstatistik - Rohdaten'!L:L, 2)</f>
        <v>0</v>
      </c>
      <c r="H17" s="15" t="str">
        <f t="shared" si="0"/>
        <v>Quersumme ok</v>
      </c>
    </row>
    <row r="18" spans="1:9" ht="25.5" customHeight="1" thickBot="1" x14ac:dyDescent="0.3">
      <c r="A18" s="54">
        <v>7</v>
      </c>
      <c r="B18" s="11" t="s">
        <v>30</v>
      </c>
      <c r="C18" s="12">
        <f>COUNTIFS('Gutachtenstatistik - Rohdaten'!H:H, 1, 'Gutachtenstatistik - Rohdaten'!I:I, 1, 'Gutachtenstatistik - Rohdaten'!K:K, 6, 'Gutachtenstatistik - Rohdaten'!L:L, 2, 'Gutachtenstatistik - Rohdaten'!M:M, 1)</f>
        <v>0</v>
      </c>
      <c r="D18" s="12">
        <f>COUNTIFS('Gutachtenstatistik - Rohdaten'!H:H, 1, 'Gutachtenstatistik - Rohdaten'!I:I, 1, 'Gutachtenstatistik - Rohdaten'!K:K, 6, 'Gutachtenstatistik - Rohdaten'!L:L, 2, 'Gutachtenstatistik - Rohdaten'!M:M, 2)</f>
        <v>0</v>
      </c>
      <c r="E18" s="21">
        <f>COUNTIFS('Gutachtenstatistik - Rohdaten'!H:H, 1, 'Gutachtenstatistik - Rohdaten'!I:I, 1, 'Gutachtenstatistik - Rohdaten'!K:K, 6, 'Gutachtenstatistik - Rohdaten'!L:L, 2, 'Gutachtenstatistik - Rohdaten'!M:M, 3)</f>
        <v>0</v>
      </c>
      <c r="F18" s="34"/>
      <c r="G18" s="49">
        <f>COUNTIFS('Gutachtenstatistik - Rohdaten'!H:H, 1, 'Gutachtenstatistik - Rohdaten'!I:I, 1, 'Gutachtenstatistik - Rohdaten'!K:K, 6, 'Gutachtenstatistik - Rohdaten'!L:L, 2)</f>
        <v>0</v>
      </c>
      <c r="H18" s="15" t="str">
        <f t="shared" si="0"/>
        <v>Quersumme ok</v>
      </c>
    </row>
    <row r="19" spans="1:9" ht="22.5" customHeight="1" thickBot="1" x14ac:dyDescent="0.3">
      <c r="A19" s="54">
        <v>8</v>
      </c>
      <c r="B19" s="41" t="s">
        <v>8</v>
      </c>
      <c r="C19" s="25" t="str">
        <f>IF(C10=(C13+C14+C15+C16+C17+C18), "ok", "nicht korrekt")</f>
        <v>ok</v>
      </c>
      <c r="D19" s="25" t="str">
        <f>IF(D10=(D13+D14+D15+D16+D17+D18), "ok", "nicht korrekt")</f>
        <v>ok</v>
      </c>
      <c r="E19" s="25" t="str">
        <f>IF(E10=(E13+E14+E15+E16+E17+E18), "ok", "nicht korrekt")</f>
        <v>ok</v>
      </c>
      <c r="F19" s="25"/>
      <c r="G19" s="25" t="str">
        <f>IF(G10=(G13+G14+G15+G16+G17+G18), "ok", "nicht korrekt")</f>
        <v>ok</v>
      </c>
      <c r="H19" s="15"/>
    </row>
    <row r="20" spans="1:9" ht="25.5" customHeight="1" thickBot="1" x14ac:dyDescent="0.3">
      <c r="A20" s="54"/>
      <c r="B20" s="29" t="s">
        <v>11</v>
      </c>
      <c r="C20" s="30"/>
      <c r="D20" s="30"/>
      <c r="E20" s="30"/>
      <c r="F20" s="37"/>
      <c r="G20" s="46"/>
      <c r="H20" s="15"/>
    </row>
    <row r="21" spans="1:9" ht="25.5" customHeight="1" x14ac:dyDescent="0.25">
      <c r="A21" s="54">
        <v>9</v>
      </c>
      <c r="B21" s="6" t="s">
        <v>4</v>
      </c>
      <c r="C21" s="7">
        <f>COUNTIFS('Gutachtenstatistik - Rohdaten'!H:H, 1, 'Gutachtenstatistik - Rohdaten'!I:I, 1, 'Gutachtenstatistik - Rohdaten'!J:J, 1, 'Gutachtenstatistik - Rohdaten'!L:L, 2, 'Gutachtenstatistik - Rohdaten'!M:M, 1)</f>
        <v>0</v>
      </c>
      <c r="D21" s="7">
        <f>COUNTIFS('Gutachtenstatistik - Rohdaten'!H:H, 1, 'Gutachtenstatistik - Rohdaten'!I:I, 1, 'Gutachtenstatistik - Rohdaten'!J:J, 1, 'Gutachtenstatistik - Rohdaten'!L:L, 2, 'Gutachtenstatistik - Rohdaten'!M:M, 2)</f>
        <v>0</v>
      </c>
      <c r="E21" s="19">
        <f>COUNTIFS('Gutachtenstatistik - Rohdaten'!H:H, 1, 'Gutachtenstatistik - Rohdaten'!I:I, 1, 'Gutachtenstatistik - Rohdaten'!J:J, 1, 'Gutachtenstatistik - Rohdaten'!L:L, 2, 'Gutachtenstatistik - Rohdaten'!M:M, 3)</f>
        <v>0</v>
      </c>
      <c r="F21" s="34"/>
      <c r="G21" s="47">
        <f>COUNTIFS('Gutachtenstatistik - Rohdaten'!H:H, 1, 'Gutachtenstatistik - Rohdaten'!I:I, 1, 'Gutachtenstatistik - Rohdaten'!J:J, 1, 'Gutachtenstatistik - Rohdaten'!L:L, 2)</f>
        <v>0</v>
      </c>
      <c r="H21" s="15" t="str">
        <f>IF(G21=(C21+D21+E21), "Quersumme ok", "nicht korrekt")</f>
        <v>Quersumme ok</v>
      </c>
    </row>
    <row r="22" spans="1:9" ht="25.5" customHeight="1" x14ac:dyDescent="0.25">
      <c r="A22" s="54">
        <v>10</v>
      </c>
      <c r="B22" s="9" t="s">
        <v>5</v>
      </c>
      <c r="C22" s="10">
        <f>COUNTIFS('Gutachtenstatistik - Rohdaten'!H:H, 1, 'Gutachtenstatistik - Rohdaten'!I:I, 1, 'Gutachtenstatistik - Rohdaten'!J:J, 2, 'Gutachtenstatistik - Rohdaten'!L:L, 2, 'Gutachtenstatistik - Rohdaten'!M:M, 1)</f>
        <v>0</v>
      </c>
      <c r="D22" s="10">
        <f>COUNTIFS('Gutachtenstatistik - Rohdaten'!H:H, 1, 'Gutachtenstatistik - Rohdaten'!I:I, 1, 'Gutachtenstatistik - Rohdaten'!J:J, 2, 'Gutachtenstatistik - Rohdaten'!L:L, 2, 'Gutachtenstatistik - Rohdaten'!M:M, 2)</f>
        <v>0</v>
      </c>
      <c r="E22" s="20">
        <f>COUNTIFS('Gutachtenstatistik - Rohdaten'!H:H, 1, 'Gutachtenstatistik - Rohdaten'!I:I, 1, 'Gutachtenstatistik - Rohdaten'!J:J, 2, 'Gutachtenstatistik - Rohdaten'!L:L, 2, 'Gutachtenstatistik - Rohdaten'!M:M, 3)</f>
        <v>0</v>
      </c>
      <c r="F22" s="34"/>
      <c r="G22" s="48">
        <f>COUNTIFS('Gutachtenstatistik - Rohdaten'!H:H, 1, 'Gutachtenstatistik - Rohdaten'!I:I, 1, 'Gutachtenstatistik - Rohdaten'!J:J, 2, 'Gutachtenstatistik - Rohdaten'!L:L, 2)</f>
        <v>0</v>
      </c>
      <c r="H22" s="15" t="str">
        <f>IF(G22=(C22+D22+E22), "Quersumme ok", "nicht korrekt")</f>
        <v>Quersumme ok</v>
      </c>
    </row>
    <row r="23" spans="1:9" ht="25.5" customHeight="1" x14ac:dyDescent="0.25">
      <c r="A23" s="54">
        <v>11</v>
      </c>
      <c r="B23" s="9" t="s">
        <v>6</v>
      </c>
      <c r="C23" s="10">
        <f>COUNTIFS('Gutachtenstatistik - Rohdaten'!H:H, 1, 'Gutachtenstatistik - Rohdaten'!I:I, 1, 'Gutachtenstatistik - Rohdaten'!J:J, 3, 'Gutachtenstatistik - Rohdaten'!L:L, 2, 'Gutachtenstatistik - Rohdaten'!M:M, 1)</f>
        <v>0</v>
      </c>
      <c r="D23" s="10">
        <f>COUNTIFS('Gutachtenstatistik - Rohdaten'!H:H, 1, 'Gutachtenstatistik - Rohdaten'!I:I, 1, 'Gutachtenstatistik - Rohdaten'!J:J, 3, 'Gutachtenstatistik - Rohdaten'!L:L, 2, 'Gutachtenstatistik - Rohdaten'!M:M, 2)</f>
        <v>0</v>
      </c>
      <c r="E23" s="20">
        <f>COUNTIFS('Gutachtenstatistik - Rohdaten'!H:H, 1, 'Gutachtenstatistik - Rohdaten'!I:I, 1, 'Gutachtenstatistik - Rohdaten'!J:J, 3, 'Gutachtenstatistik - Rohdaten'!L:L, 2, 'Gutachtenstatistik - Rohdaten'!M:M, 3)</f>
        <v>0</v>
      </c>
      <c r="F23" s="34"/>
      <c r="G23" s="48">
        <f>COUNTIFS('Gutachtenstatistik - Rohdaten'!H:H, 1, 'Gutachtenstatistik - Rohdaten'!I:I, 1, 'Gutachtenstatistik - Rohdaten'!J:J, 3, 'Gutachtenstatistik - Rohdaten'!L:L, 2)</f>
        <v>0</v>
      </c>
      <c r="H23" s="15" t="str">
        <f>IF(G23=(C23+D23+E23), "Quersumme ok", "nicht korrekt")</f>
        <v>Quersumme ok</v>
      </c>
    </row>
    <row r="24" spans="1:9" ht="25.5" customHeight="1" thickBot="1" x14ac:dyDescent="0.3">
      <c r="A24" s="54">
        <v>12</v>
      </c>
      <c r="B24" s="11" t="s">
        <v>7</v>
      </c>
      <c r="C24" s="12">
        <f>COUNTIFS('Gutachtenstatistik - Rohdaten'!H:H, 1, 'Gutachtenstatistik - Rohdaten'!I:I, 1, 'Gutachtenstatistik - Rohdaten'!J:J, 4, 'Gutachtenstatistik - Rohdaten'!L:L, 2, 'Gutachtenstatistik - Rohdaten'!M:M, 1)</f>
        <v>0</v>
      </c>
      <c r="D24" s="12">
        <f>COUNTIFS('Gutachtenstatistik - Rohdaten'!H:H, 1, 'Gutachtenstatistik - Rohdaten'!I:I, 1, 'Gutachtenstatistik - Rohdaten'!J:J, 4, 'Gutachtenstatistik - Rohdaten'!L:L, 2, 'Gutachtenstatistik - Rohdaten'!M:M, 2)</f>
        <v>0</v>
      </c>
      <c r="E24" s="21">
        <f>COUNTIFS('Gutachtenstatistik - Rohdaten'!H:H, 1, 'Gutachtenstatistik - Rohdaten'!I:I, 1, 'Gutachtenstatistik - Rohdaten'!J:J, 4, 'Gutachtenstatistik - Rohdaten'!L:L, 2, 'Gutachtenstatistik - Rohdaten'!M:M, 3)</f>
        <v>0</v>
      </c>
      <c r="F24" s="34"/>
      <c r="G24" s="49">
        <f>COUNTIFS('Gutachtenstatistik - Rohdaten'!H:H, 1, 'Gutachtenstatistik - Rohdaten'!I:I, 1, 'Gutachtenstatistik - Rohdaten'!J:J, 4, 'Gutachtenstatistik - Rohdaten'!L:L, 2)</f>
        <v>0</v>
      </c>
      <c r="H24" s="15" t="str">
        <f>IF(G24=(C24+D24+E24), "Quersumme ok", "nicht korrekt")</f>
        <v>Quersumme ok</v>
      </c>
    </row>
    <row r="25" spans="1:9" ht="23.25" customHeight="1" thickBot="1" x14ac:dyDescent="0.3">
      <c r="A25" s="54">
        <v>13</v>
      </c>
      <c r="B25" s="41" t="s">
        <v>8</v>
      </c>
      <c r="C25" s="25" t="str">
        <f>IF(C10=(C21+C22+C23+C24), "ok", "nicht korrekt")</f>
        <v>ok</v>
      </c>
      <c r="D25" s="25" t="str">
        <f>IF(D10=(D21+D22+D23+D24), "ok", "nicht korrekt")</f>
        <v>ok</v>
      </c>
      <c r="E25" s="25" t="str">
        <f>IF(E10=(E21+E22+E23+E24), "ok", "nicht korrekt")</f>
        <v>ok</v>
      </c>
      <c r="F25" s="25"/>
      <c r="G25" s="25" t="str">
        <f>IF(G10=(G21+G22+G23+G24), "ok", "nicht korrekt")</f>
        <v>ok</v>
      </c>
      <c r="H25" s="15"/>
    </row>
    <row r="26" spans="1:9" ht="25.5" customHeight="1" thickTop="1" thickBot="1" x14ac:dyDescent="0.3">
      <c r="A26" s="54">
        <v>14</v>
      </c>
      <c r="B26" s="44" t="s">
        <v>92</v>
      </c>
      <c r="C26" s="26">
        <f>COUNTIFS('Gutachtenstatistik - Rohdaten'!H:H, 1, 'Gutachtenstatistik - Rohdaten'!I:I, 1, 'Gutachtenstatistik - Rohdaten'!L:L, 1, 'Gutachtenstatistik - Rohdaten'!M:M, 1)</f>
        <v>0</v>
      </c>
      <c r="D26" s="8">
        <f>COUNTIFS('Gutachtenstatistik - Rohdaten'!H:H, 1, 'Gutachtenstatistik - Rohdaten'!I:I, 1, 'Gutachtenstatistik - Rohdaten'!L:L, 1, 'Gutachtenstatistik - Rohdaten'!M:M, 2)</f>
        <v>0</v>
      </c>
      <c r="E26" s="22">
        <f>COUNTIFS('Gutachtenstatistik - Rohdaten'!H:H, 1, 'Gutachtenstatistik - Rohdaten'!I:I, 1, 'Gutachtenstatistik - Rohdaten'!L:L, 1, 'Gutachtenstatistik - Rohdaten'!M:M, 3)</f>
        <v>0</v>
      </c>
      <c r="F26" s="42"/>
      <c r="G26" s="50">
        <f>COUNTIFS('Gutachtenstatistik - Rohdaten'!H:H, 1, 'Gutachtenstatistik - Rohdaten'!I:I, 1, 'Gutachtenstatistik - Rohdaten'!L:L, 1)</f>
        <v>0</v>
      </c>
      <c r="H26" s="15" t="str">
        <f>IF(G26=(C26+D26+E26), "Quersumme ok", "nicht korrekt")</f>
        <v>Quersumme ok</v>
      </c>
    </row>
    <row r="27" spans="1:9" ht="15.75" customHeight="1" thickTop="1" thickBot="1" x14ac:dyDescent="0.3">
      <c r="A27" s="54"/>
      <c r="B27" s="45" t="s">
        <v>98</v>
      </c>
      <c r="C27" s="89"/>
      <c r="D27" s="90"/>
      <c r="E27" s="28"/>
      <c r="F27" s="17"/>
      <c r="G27" s="28"/>
      <c r="H27" s="15"/>
    </row>
    <row r="28" spans="1:9" ht="39" customHeight="1" thickBot="1" x14ac:dyDescent="0.3">
      <c r="A28" s="54"/>
      <c r="B28" s="108" t="s">
        <v>123</v>
      </c>
      <c r="C28" s="109"/>
      <c r="D28" s="91" t="s">
        <v>121</v>
      </c>
      <c r="E28" s="92" t="s">
        <v>122</v>
      </c>
      <c r="F28" s="27"/>
      <c r="G28" s="27"/>
      <c r="H28" s="98" t="s">
        <v>129</v>
      </c>
    </row>
    <row r="29" spans="1:9" ht="30" customHeight="1" x14ac:dyDescent="0.25">
      <c r="A29" s="54">
        <v>15</v>
      </c>
      <c r="B29" s="111" t="s">
        <v>126</v>
      </c>
      <c r="C29" s="112"/>
      <c r="D29" s="93">
        <f>SUMIFS('Gutachtenstatistik - Rohdaten'!N:N, 'Gutachtenstatistik - Rohdaten'!H:H, 1, 'Gutachtenstatistik - Rohdaten'!I:I, 1)</f>
        <v>0</v>
      </c>
      <c r="E29" s="94">
        <f>SUMIFS('Gutachtenstatistik - Rohdaten'!O:O, 'Gutachtenstatistik - Rohdaten'!H:H, 1, 'Gutachtenstatistik - Rohdaten'!I:I, 1)</f>
        <v>0</v>
      </c>
      <c r="F29" s="14"/>
      <c r="G29" s="83" t="str">
        <f>IF(E29&lt;=D29, "ok", "nicht korrekt; Anzahl der beantragten TE muss gleich oder größer sein als die Anzahl der befürworteten TE")</f>
        <v>ok</v>
      </c>
      <c r="H29" s="97" t="e">
        <f>E29/D29</f>
        <v>#DIV/0!</v>
      </c>
    </row>
    <row r="30" spans="1:9" ht="26.25" customHeight="1" thickBot="1" x14ac:dyDescent="0.3">
      <c r="A30" s="54">
        <v>16</v>
      </c>
      <c r="B30" s="103" t="s">
        <v>127</v>
      </c>
      <c r="C30" s="104"/>
      <c r="D30" s="95">
        <f>SUMIFS('Gutachtenstatistik - Rohdaten'!P:P, 'Gutachtenstatistik - Rohdaten'!H:H, 1, 'Gutachtenstatistik - Rohdaten'!I:I, 1)</f>
        <v>0</v>
      </c>
      <c r="E30" s="96">
        <f>SUMIFS('Gutachtenstatistik - Rohdaten'!Q:Q, 'Gutachtenstatistik - Rohdaten'!H:H, 1, 'Gutachtenstatistik - Rohdaten'!I:I, 1)</f>
        <v>0</v>
      </c>
      <c r="F30" s="17"/>
      <c r="G30" s="83" t="str">
        <f>IF(E30&lt;=D30, "ok", "nicht korrekt; Anzahl der beantragten TE muss gleich oder größer sein als die Anzahl der befürworteten TE")</f>
        <v>ok</v>
      </c>
      <c r="H30" s="97" t="e">
        <f>E30/D30</f>
        <v>#DIV/0!</v>
      </c>
    </row>
    <row r="31" spans="1:9" ht="7.5" customHeight="1" x14ac:dyDescent="0.25">
      <c r="A31" s="54"/>
      <c r="B31" s="51"/>
      <c r="C31" s="51"/>
      <c r="D31" s="52"/>
      <c r="E31" s="17"/>
      <c r="F31" s="17"/>
      <c r="G31" s="13"/>
      <c r="H31" s="1"/>
    </row>
    <row r="32" spans="1:9" ht="45.75" customHeight="1" x14ac:dyDescent="0.25">
      <c r="B32" s="105" t="s">
        <v>128</v>
      </c>
      <c r="C32" s="106"/>
      <c r="D32" s="106"/>
      <c r="E32" s="106"/>
      <c r="F32" s="106"/>
      <c r="G32" s="107"/>
      <c r="H32" s="1"/>
      <c r="I32" s="23"/>
    </row>
    <row r="33" spans="2:8" ht="28.35" customHeight="1" x14ac:dyDescent="0.25">
      <c r="B33" s="1"/>
      <c r="C33" s="1"/>
      <c r="D33" s="1"/>
      <c r="E33" s="1"/>
      <c r="F33" s="1"/>
      <c r="G33" s="1"/>
      <c r="H33" s="1"/>
    </row>
    <row r="34" spans="2:8" ht="28.35" customHeight="1" x14ac:dyDescent="0.25">
      <c r="B34" s="1"/>
      <c r="C34" s="1"/>
      <c r="D34" s="1"/>
      <c r="E34" s="1"/>
      <c r="F34" s="1"/>
      <c r="G34" s="1"/>
      <c r="H34" s="1"/>
    </row>
    <row r="35" spans="2:8" ht="27.75" customHeight="1" x14ac:dyDescent="0.25">
      <c r="B35" s="1"/>
      <c r="C35" s="1"/>
      <c r="D35" s="1"/>
      <c r="E35" s="1"/>
      <c r="F35" s="1"/>
      <c r="G35" s="1"/>
      <c r="H35" s="1"/>
    </row>
    <row r="36" spans="2:8" ht="28.35" customHeight="1" x14ac:dyDescent="0.25">
      <c r="B36" s="1"/>
      <c r="C36" s="1"/>
      <c r="D36" s="1"/>
      <c r="E36" s="1"/>
      <c r="F36" s="1"/>
      <c r="G36" s="1"/>
      <c r="H36" s="1"/>
    </row>
    <row r="37" spans="2:8" ht="17.100000000000001" customHeight="1" x14ac:dyDescent="0.25">
      <c r="B37" s="1"/>
      <c r="C37" s="1"/>
      <c r="D37" s="1"/>
      <c r="E37" s="1"/>
      <c r="F37" s="1"/>
      <c r="G37" s="1"/>
      <c r="H37" s="1"/>
    </row>
    <row r="38" spans="2:8" ht="27" customHeight="1" x14ac:dyDescent="0.25">
      <c r="B38" s="1"/>
      <c r="C38" s="1"/>
      <c r="D38" s="1"/>
      <c r="E38" s="1"/>
      <c r="F38" s="1"/>
      <c r="G38" s="1"/>
      <c r="H38" s="1"/>
    </row>
    <row r="39" spans="2:8" ht="27" customHeight="1" x14ac:dyDescent="0.25">
      <c r="B39" s="1"/>
      <c r="C39" s="1"/>
      <c r="D39" s="1"/>
      <c r="E39" s="1"/>
      <c r="F39" s="1"/>
      <c r="G39" s="1"/>
      <c r="H39" s="1"/>
    </row>
    <row r="40" spans="2:8" ht="27" customHeight="1" x14ac:dyDescent="0.25">
      <c r="B40" s="1"/>
      <c r="C40" s="1"/>
      <c r="D40" s="1"/>
      <c r="E40" s="1"/>
      <c r="F40" s="1"/>
      <c r="G40" s="1"/>
      <c r="H40" s="1"/>
    </row>
    <row r="41" spans="2:8" x14ac:dyDescent="0.25">
      <c r="B41" s="1"/>
      <c r="C41" s="1"/>
      <c r="D41" s="1"/>
      <c r="E41" s="1"/>
      <c r="F41" s="1"/>
      <c r="G41" s="1"/>
      <c r="H41" s="1"/>
    </row>
    <row r="42" spans="2:8" x14ac:dyDescent="0.25">
      <c r="B42" s="1"/>
      <c r="C42" s="1"/>
      <c r="D42" s="1"/>
      <c r="E42" s="1"/>
      <c r="F42" s="1"/>
      <c r="G42" s="1"/>
      <c r="H42" s="1"/>
    </row>
    <row r="43" spans="2:8" x14ac:dyDescent="0.25">
      <c r="B43" s="1"/>
      <c r="C43" s="1"/>
      <c r="D43" s="1"/>
      <c r="E43" s="1"/>
      <c r="F43" s="1"/>
      <c r="G43" s="1"/>
      <c r="H43" s="1"/>
    </row>
    <row r="44" spans="2:8" x14ac:dyDescent="0.25">
      <c r="B44" s="1"/>
      <c r="C44" s="1"/>
      <c r="D44" s="1"/>
      <c r="E44" s="1"/>
      <c r="F44" s="1"/>
      <c r="G44" s="1"/>
      <c r="H44" s="1"/>
    </row>
    <row r="45" spans="2:8" x14ac:dyDescent="0.25">
      <c r="B45" s="1"/>
      <c r="C45" s="1"/>
      <c r="D45" s="1"/>
      <c r="E45" s="1"/>
      <c r="F45" s="1"/>
      <c r="G45" s="1"/>
      <c r="H45" s="1"/>
    </row>
    <row r="46" spans="2:8" x14ac:dyDescent="0.25">
      <c r="B46" s="1"/>
      <c r="C46" s="1"/>
      <c r="D46" s="1"/>
      <c r="E46" s="1"/>
      <c r="F46" s="1"/>
      <c r="G46" s="1"/>
      <c r="H46" s="1"/>
    </row>
  </sheetData>
  <mergeCells count="12">
    <mergeCell ref="B30:C30"/>
    <mergeCell ref="B32:G32"/>
    <mergeCell ref="B28:C28"/>
    <mergeCell ref="C4:G4"/>
    <mergeCell ref="C7:G7"/>
    <mergeCell ref="B29:C29"/>
    <mergeCell ref="C8:G8"/>
    <mergeCell ref="C2:G2"/>
    <mergeCell ref="C3:G3"/>
    <mergeCell ref="C6:G6"/>
    <mergeCell ref="C5:G5"/>
    <mergeCell ref="B1:G1"/>
  </mergeCells>
  <pageMargins left="0.23622047244094491" right="0.23622047244094491" top="0.74803149606299213" bottom="0.74803149606299213" header="0.31496062992125984" footer="0.31496062992125984"/>
  <pageSetup paperSize="9" orientation="portrait" r:id="rId1"/>
  <headerFooter>
    <oddHeader>&amp;C&amp;"-,Fett"&amp;14GUTACHTENSTATISTIK</oddHeader>
    <oddFooter>&amp;L&amp;9Seite &amp;P von &amp;N /  KBV  /  Gutachterstatistik Auswertungsmatrix  / Juli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6"/>
  <sheetViews>
    <sheetView view="pageLayout" zoomScaleNormal="140" workbookViewId="0">
      <selection activeCell="C2" sqref="C2:G2"/>
    </sheetView>
  </sheetViews>
  <sheetFormatPr baseColWidth="10" defaultColWidth="9.140625" defaultRowHeight="15" x14ac:dyDescent="0.25"/>
  <cols>
    <col min="1" max="1" width="4.28515625" style="53" customWidth="1"/>
    <col min="2" max="2" width="25" customWidth="1"/>
    <col min="3" max="3" width="14.140625" customWidth="1"/>
    <col min="4" max="4" width="14.28515625" customWidth="1"/>
    <col min="5" max="5" width="14.5703125" customWidth="1"/>
    <col min="6" max="6" width="2" customWidth="1"/>
    <col min="7" max="7" width="13.140625" customWidth="1"/>
    <col min="9" max="9" width="7.28515625" customWidth="1"/>
    <col min="10" max="10" width="23.28515625" customWidth="1"/>
    <col min="11" max="11" width="13.42578125" customWidth="1"/>
    <col min="12" max="12" width="13.28515625" customWidth="1"/>
    <col min="13" max="13" width="12.7109375" customWidth="1"/>
    <col min="14" max="14" width="3" customWidth="1"/>
    <col min="15" max="15" width="12.140625" customWidth="1"/>
  </cols>
  <sheetData>
    <row r="1" spans="1:8" ht="22.5" customHeight="1" x14ac:dyDescent="0.25">
      <c r="B1" s="102" t="s">
        <v>90</v>
      </c>
      <c r="C1" s="102"/>
      <c r="D1" s="102"/>
      <c r="E1" s="102"/>
      <c r="F1" s="102"/>
      <c r="G1" s="102"/>
      <c r="H1" s="1"/>
    </row>
    <row r="2" spans="1:8" ht="17.100000000000001" customHeight="1" x14ac:dyDescent="0.25">
      <c r="A2" s="54"/>
      <c r="B2" s="24" t="s">
        <v>13</v>
      </c>
      <c r="C2" s="99"/>
      <c r="D2" s="99"/>
      <c r="E2" s="99"/>
      <c r="F2" s="99"/>
      <c r="G2" s="99"/>
      <c r="H2" s="1"/>
    </row>
    <row r="3" spans="1:8" ht="17.100000000000001" customHeight="1" x14ac:dyDescent="0.25">
      <c r="A3" s="54"/>
      <c r="B3" s="24" t="s">
        <v>12</v>
      </c>
      <c r="C3" s="100"/>
      <c r="D3" s="100"/>
      <c r="E3" s="100"/>
      <c r="F3" s="100"/>
      <c r="G3" s="100"/>
      <c r="H3" s="1"/>
    </row>
    <row r="4" spans="1:8" ht="17.100000000000001" customHeight="1" x14ac:dyDescent="0.25">
      <c r="A4" s="54"/>
      <c r="B4" s="24" t="s">
        <v>14</v>
      </c>
      <c r="C4" s="101"/>
      <c r="D4" s="101"/>
      <c r="E4" s="101"/>
      <c r="F4" s="101"/>
      <c r="G4" s="101"/>
      <c r="H4" s="1"/>
    </row>
    <row r="5" spans="1:8" ht="17.100000000000001" customHeight="1" x14ac:dyDescent="0.25">
      <c r="A5" s="54"/>
      <c r="B5" s="24" t="s">
        <v>20</v>
      </c>
      <c r="C5" s="100"/>
      <c r="D5" s="100"/>
      <c r="E5" s="100"/>
      <c r="F5" s="100"/>
      <c r="G5" s="100"/>
      <c r="H5" s="1"/>
    </row>
    <row r="6" spans="1:8" ht="17.100000000000001" customHeight="1" x14ac:dyDescent="0.25">
      <c r="A6" s="54"/>
      <c r="B6" s="24" t="s">
        <v>85</v>
      </c>
      <c r="C6" s="101"/>
      <c r="D6" s="101"/>
      <c r="E6" s="101"/>
      <c r="F6" s="101"/>
      <c r="G6" s="101"/>
      <c r="H6" s="1"/>
    </row>
    <row r="7" spans="1:8" ht="17.100000000000001" customHeight="1" x14ac:dyDescent="0.25">
      <c r="A7" s="54"/>
      <c r="B7" s="43" t="s">
        <v>15</v>
      </c>
      <c r="C7" s="110"/>
      <c r="D7" s="110"/>
      <c r="E7" s="110"/>
      <c r="F7" s="110"/>
      <c r="G7" s="110"/>
      <c r="H7" s="2"/>
    </row>
    <row r="8" spans="1:8" ht="17.100000000000001" customHeight="1" thickBot="1" x14ac:dyDescent="0.3">
      <c r="A8" s="54"/>
      <c r="B8" s="24" t="s">
        <v>21</v>
      </c>
      <c r="C8" s="82" t="s">
        <v>24</v>
      </c>
      <c r="D8" s="82"/>
      <c r="E8" s="82"/>
      <c r="F8" s="82"/>
      <c r="G8" s="82"/>
    </row>
    <row r="9" spans="1:8" ht="27.75" customHeight="1" thickBot="1" x14ac:dyDescent="0.3">
      <c r="A9" s="54"/>
      <c r="B9" s="3"/>
      <c r="C9" s="4" t="s">
        <v>16</v>
      </c>
      <c r="D9" s="4" t="s">
        <v>17</v>
      </c>
      <c r="E9" s="18" t="s">
        <v>18</v>
      </c>
      <c r="F9" s="36"/>
      <c r="G9" s="32" t="s">
        <v>19</v>
      </c>
      <c r="H9" s="1"/>
    </row>
    <row r="10" spans="1:8" ht="22.5" customHeight="1" thickTop="1" thickBot="1" x14ac:dyDescent="0.3">
      <c r="A10" s="54">
        <v>1</v>
      </c>
      <c r="B10" s="16" t="s">
        <v>22</v>
      </c>
      <c r="C10" s="5">
        <f>COUNTIFS('Gutachtenstatistik - Rohdaten'!H:H, 1, 'Gutachtenstatistik - Rohdaten'!I:I, 2, 'Gutachtenstatistik - Rohdaten'!L:L, 2, 'Gutachtenstatistik - Rohdaten'!M:M, 1)</f>
        <v>0</v>
      </c>
      <c r="D10" s="5">
        <f>COUNTIFS('Gutachtenstatistik - Rohdaten'!H:H, 1, 'Gutachtenstatistik - Rohdaten'!I:I, 2, 'Gutachtenstatistik - Rohdaten'!L:L, 2, 'Gutachtenstatistik - Rohdaten'!M:M, 2)</f>
        <v>0</v>
      </c>
      <c r="E10" s="31">
        <f>COUNTIFS('Gutachtenstatistik - Rohdaten'!H:H, 1, 'Gutachtenstatistik - Rohdaten'!I:I, 2, 'Gutachtenstatistik - Rohdaten'!L:L, 2, 'Gutachtenstatistik - Rohdaten'!M:M, 3)</f>
        <v>0</v>
      </c>
      <c r="F10" s="35"/>
      <c r="G10" s="33">
        <f>COUNTIFS('Gutachtenstatistik - Rohdaten'!H:H, 1, 'Gutachtenstatistik - Rohdaten'!I:I, 2, 'Gutachtenstatistik - Rohdaten'!L:L, 2)</f>
        <v>0</v>
      </c>
      <c r="H10" s="15" t="str">
        <f>IF(G10=(C10+D10+E10), "Quersumme ok", "nicht korrekt")</f>
        <v>Quersumme ok</v>
      </c>
    </row>
    <row r="11" spans="1:8" ht="6.75" customHeight="1" thickBot="1" x14ac:dyDescent="0.3">
      <c r="A11" s="54"/>
      <c r="B11" s="39"/>
      <c r="C11" s="38"/>
      <c r="D11" s="38"/>
      <c r="E11" s="38"/>
      <c r="F11" s="40"/>
      <c r="G11" s="38"/>
      <c r="H11" s="15"/>
    </row>
    <row r="12" spans="1:8" ht="25.5" customHeight="1" thickBot="1" x14ac:dyDescent="0.3">
      <c r="A12" s="54"/>
      <c r="B12" s="29" t="s">
        <v>10</v>
      </c>
      <c r="C12" s="30"/>
      <c r="D12" s="30"/>
      <c r="E12" s="30"/>
      <c r="F12" s="37"/>
      <c r="G12" s="46"/>
      <c r="H12" s="15"/>
    </row>
    <row r="13" spans="1:8" ht="25.5" customHeight="1" x14ac:dyDescent="0.25">
      <c r="A13" s="54">
        <v>2</v>
      </c>
      <c r="B13" s="6" t="s">
        <v>0</v>
      </c>
      <c r="C13" s="7">
        <f>COUNTIFS('Gutachtenstatistik - Rohdaten'!H:H, 1, 'Gutachtenstatistik - Rohdaten'!I:I, 2, 'Gutachtenstatistik - Rohdaten'!K:K, 1, 'Gutachtenstatistik - Rohdaten'!L:L, 2, 'Gutachtenstatistik - Rohdaten'!M:M, 1)</f>
        <v>0</v>
      </c>
      <c r="D13" s="7">
        <f>COUNTIFS('Gutachtenstatistik - Rohdaten'!H:H, 1, 'Gutachtenstatistik - Rohdaten'!I:I, 2, 'Gutachtenstatistik - Rohdaten'!K:K, 1, 'Gutachtenstatistik - Rohdaten'!L:L, 2, 'Gutachtenstatistik - Rohdaten'!M:M, 2)</f>
        <v>0</v>
      </c>
      <c r="E13" s="19">
        <f>COUNTIFS('Gutachtenstatistik - Rohdaten'!H:H, 1, 'Gutachtenstatistik - Rohdaten'!I:I, 2, 'Gutachtenstatistik - Rohdaten'!K:K, 1,'Gutachtenstatistik - Rohdaten'!L:L, 2,  'Gutachtenstatistik - Rohdaten'!M:M, 3)</f>
        <v>0</v>
      </c>
      <c r="F13" s="34"/>
      <c r="G13" s="47">
        <f>COUNTIFS('Gutachtenstatistik - Rohdaten'!H:H, 1, 'Gutachtenstatistik - Rohdaten'!I:I, 2, 'Gutachtenstatistik - Rohdaten'!K:K, 1, 'Gutachtenstatistik - Rohdaten'!L:L, 2)</f>
        <v>0</v>
      </c>
      <c r="H13" s="15" t="str">
        <f t="shared" ref="H13:H18" si="0">IF(G13=(C13+D13+E13), "Quersumme ok", "nicht korrekt")</f>
        <v>Quersumme ok</v>
      </c>
    </row>
    <row r="14" spans="1:8" ht="25.5" customHeight="1" x14ac:dyDescent="0.25">
      <c r="A14" s="54">
        <v>3</v>
      </c>
      <c r="B14" s="9" t="s">
        <v>9</v>
      </c>
      <c r="C14" s="10">
        <f>COUNTIFS('Gutachtenstatistik - Rohdaten'!H:H, 1, 'Gutachtenstatistik - Rohdaten'!I:I, 2, 'Gutachtenstatistik - Rohdaten'!K:K, 2, 'Gutachtenstatistik - Rohdaten'!L:L, 2, 'Gutachtenstatistik - Rohdaten'!M:M, 1)</f>
        <v>0</v>
      </c>
      <c r="D14" s="10">
        <f>COUNTIFS('Gutachtenstatistik - Rohdaten'!H:H, 1, 'Gutachtenstatistik - Rohdaten'!I:I, 2, 'Gutachtenstatistik - Rohdaten'!K:K, 2, 'Gutachtenstatistik - Rohdaten'!L:L, 2, 'Gutachtenstatistik - Rohdaten'!M:M, 2)</f>
        <v>0</v>
      </c>
      <c r="E14" s="20">
        <f>COUNTIFS('Gutachtenstatistik - Rohdaten'!H:H, 1, 'Gutachtenstatistik - Rohdaten'!I:I, 2, 'Gutachtenstatistik - Rohdaten'!K:K, 2, 'Gutachtenstatistik - Rohdaten'!L:L, 2, 'Gutachtenstatistik - Rohdaten'!M:M, 3)</f>
        <v>0</v>
      </c>
      <c r="F14" s="34"/>
      <c r="G14" s="48">
        <f>COUNTIFS('Gutachtenstatistik - Rohdaten'!H:H, 1, 'Gutachtenstatistik - Rohdaten'!I:I, 2, 'Gutachtenstatistik - Rohdaten'!K:K, 2, 'Gutachtenstatistik - Rohdaten'!L:L, 2)</f>
        <v>0</v>
      </c>
      <c r="H14" s="15" t="str">
        <f t="shared" si="0"/>
        <v>Quersumme ok</v>
      </c>
    </row>
    <row r="15" spans="1:8" ht="25.5" customHeight="1" x14ac:dyDescent="0.25">
      <c r="A15" s="54">
        <v>4</v>
      </c>
      <c r="B15" s="9" t="s">
        <v>1</v>
      </c>
      <c r="C15" s="10">
        <f>COUNTIFS('Gutachtenstatistik - Rohdaten'!H:H, 1, 'Gutachtenstatistik - Rohdaten'!I:I, 2, 'Gutachtenstatistik - Rohdaten'!K:K, 3, 'Gutachtenstatistik - Rohdaten'!L:L, 2, 'Gutachtenstatistik - Rohdaten'!M:M, 1)</f>
        <v>0</v>
      </c>
      <c r="D15" s="10">
        <f>COUNTIFS('Gutachtenstatistik - Rohdaten'!H:H, 1, 'Gutachtenstatistik - Rohdaten'!I:I, 2, 'Gutachtenstatistik - Rohdaten'!K:K, 3,'Gutachtenstatistik - Rohdaten'!L:L, 2,  'Gutachtenstatistik - Rohdaten'!M:M, 2)</f>
        <v>0</v>
      </c>
      <c r="E15" s="20">
        <f>COUNTIFS('Gutachtenstatistik - Rohdaten'!H:H, 1, 'Gutachtenstatistik - Rohdaten'!I:I, 2, 'Gutachtenstatistik - Rohdaten'!K:K, 3, 'Gutachtenstatistik - Rohdaten'!L:L, 2, 'Gutachtenstatistik - Rohdaten'!M:M, 3)</f>
        <v>0</v>
      </c>
      <c r="F15" s="34"/>
      <c r="G15" s="48">
        <f>COUNTIFS('Gutachtenstatistik - Rohdaten'!H:H, 1, 'Gutachtenstatistik - Rohdaten'!I:I, 2, 'Gutachtenstatistik - Rohdaten'!K:K, 3, 'Gutachtenstatistik - Rohdaten'!L:L, 2)</f>
        <v>0</v>
      </c>
      <c r="H15" s="15" t="str">
        <f t="shared" si="0"/>
        <v>Quersumme ok</v>
      </c>
    </row>
    <row r="16" spans="1:8" ht="25.5" customHeight="1" x14ac:dyDescent="0.25">
      <c r="A16" s="54">
        <v>5</v>
      </c>
      <c r="B16" s="9" t="s">
        <v>2</v>
      </c>
      <c r="C16" s="10">
        <f>COUNTIFS('Gutachtenstatistik - Rohdaten'!H:H, 1, 'Gutachtenstatistik - Rohdaten'!I:I, 2, 'Gutachtenstatistik - Rohdaten'!K:K, 4, 'Gutachtenstatistik - Rohdaten'!L:L, 2, 'Gutachtenstatistik - Rohdaten'!M:M, 1)</f>
        <v>0</v>
      </c>
      <c r="D16" s="10">
        <f>COUNTIFS('Gutachtenstatistik - Rohdaten'!H:H, 1, 'Gutachtenstatistik - Rohdaten'!I:I, 2, 'Gutachtenstatistik - Rohdaten'!K:K, 4,'Gutachtenstatistik - Rohdaten'!L:L, 2,  'Gutachtenstatistik - Rohdaten'!M:M, 2)</f>
        <v>0</v>
      </c>
      <c r="E16" s="20">
        <f>COUNTIFS('Gutachtenstatistik - Rohdaten'!H:H, 1, 'Gutachtenstatistik - Rohdaten'!I:I, 2, 'Gutachtenstatistik - Rohdaten'!K:K, 4,'Gutachtenstatistik - Rohdaten'!L:L, 2,  'Gutachtenstatistik - Rohdaten'!M:M, 3)</f>
        <v>0</v>
      </c>
      <c r="F16" s="34"/>
      <c r="G16" s="48">
        <f>COUNTIFS('Gutachtenstatistik - Rohdaten'!H:H, 1, 'Gutachtenstatistik - Rohdaten'!I:I, 2, 'Gutachtenstatistik - Rohdaten'!K:K, 4, 'Gutachtenstatistik - Rohdaten'!L:L, 2)</f>
        <v>0</v>
      </c>
      <c r="H16" s="15" t="str">
        <f t="shared" si="0"/>
        <v>Quersumme ok</v>
      </c>
    </row>
    <row r="17" spans="1:9" ht="25.5" customHeight="1" x14ac:dyDescent="0.25">
      <c r="A17" s="54">
        <v>6</v>
      </c>
      <c r="B17" s="9" t="s">
        <v>3</v>
      </c>
      <c r="C17" s="10">
        <f>COUNTIFS('Gutachtenstatistik - Rohdaten'!H:H, 1, 'Gutachtenstatistik - Rohdaten'!I:I, 2, 'Gutachtenstatistik - Rohdaten'!K:K, 5,'Gutachtenstatistik - Rohdaten'!L:L, 2,  'Gutachtenstatistik - Rohdaten'!M:M, 1)</f>
        <v>0</v>
      </c>
      <c r="D17" s="10">
        <f>COUNTIFS('Gutachtenstatistik - Rohdaten'!H:H, 1, 'Gutachtenstatistik - Rohdaten'!I:I, 2, 'Gutachtenstatistik - Rohdaten'!K:K, 5,'Gutachtenstatistik - Rohdaten'!L:L, 2,  'Gutachtenstatistik - Rohdaten'!M:M, 2)</f>
        <v>0</v>
      </c>
      <c r="E17" s="20">
        <f>COUNTIFS('Gutachtenstatistik - Rohdaten'!H:H, 1, 'Gutachtenstatistik - Rohdaten'!I:I, 2, 'Gutachtenstatistik - Rohdaten'!K:K, 5, 'Gutachtenstatistik - Rohdaten'!L:L, 2, 'Gutachtenstatistik - Rohdaten'!M:M, 3)</f>
        <v>0</v>
      </c>
      <c r="F17" s="34"/>
      <c r="G17" s="48">
        <f>COUNTIFS('Gutachtenstatistik - Rohdaten'!H:H, 1, 'Gutachtenstatistik - Rohdaten'!I:I, 2, 'Gutachtenstatistik - Rohdaten'!K:K, 5, 'Gutachtenstatistik - Rohdaten'!L:L, 2)</f>
        <v>0</v>
      </c>
      <c r="H17" s="15" t="str">
        <f t="shared" si="0"/>
        <v>Quersumme ok</v>
      </c>
    </row>
    <row r="18" spans="1:9" ht="25.5" customHeight="1" thickBot="1" x14ac:dyDescent="0.3">
      <c r="A18" s="54">
        <v>7</v>
      </c>
      <c r="B18" s="11" t="s">
        <v>31</v>
      </c>
      <c r="C18" s="12">
        <f>COUNTIFS('Gutachtenstatistik - Rohdaten'!H:H, 1, 'Gutachtenstatistik - Rohdaten'!I:I, 2, 'Gutachtenstatistik - Rohdaten'!K:K, 6, 'Gutachtenstatistik - Rohdaten'!L:L, 2, 'Gutachtenstatistik - Rohdaten'!M:M, 1)</f>
        <v>0</v>
      </c>
      <c r="D18" s="12">
        <f>COUNTIFS('Gutachtenstatistik - Rohdaten'!H:H, 1, 'Gutachtenstatistik - Rohdaten'!I:I, 2, 'Gutachtenstatistik - Rohdaten'!K:K, 6,'Gutachtenstatistik - Rohdaten'!L:L, 2,  'Gutachtenstatistik - Rohdaten'!M:M, 2)</f>
        <v>0</v>
      </c>
      <c r="E18" s="21">
        <f>COUNTIFS('Gutachtenstatistik - Rohdaten'!H:H, 1, 'Gutachtenstatistik - Rohdaten'!I:I, 2, 'Gutachtenstatistik - Rohdaten'!K:K, 6, 'Gutachtenstatistik - Rohdaten'!L:L, 2, 'Gutachtenstatistik - Rohdaten'!M:M, 3)</f>
        <v>0</v>
      </c>
      <c r="F18" s="34"/>
      <c r="G18" s="49">
        <f>COUNTIFS('Gutachtenstatistik - Rohdaten'!H:H, 1, 'Gutachtenstatistik - Rohdaten'!I:I, 2, 'Gutachtenstatistik - Rohdaten'!K:K, 6, 'Gutachtenstatistik - Rohdaten'!L:L, 2)</f>
        <v>0</v>
      </c>
      <c r="H18" s="15" t="str">
        <f t="shared" si="0"/>
        <v>Quersumme ok</v>
      </c>
    </row>
    <row r="19" spans="1:9" ht="22.5" customHeight="1" thickBot="1" x14ac:dyDescent="0.3">
      <c r="A19" s="54">
        <v>8</v>
      </c>
      <c r="B19" s="41" t="s">
        <v>8</v>
      </c>
      <c r="C19" s="25" t="str">
        <f>IF(C10=(C13+C14+C15+C16+C17+C18), "ok", "nicht korrekt")</f>
        <v>ok</v>
      </c>
      <c r="D19" s="25" t="str">
        <f>IF(D10=(D13+D14+D15+D16+D17+D18), "ok", "nicht korrekt")</f>
        <v>ok</v>
      </c>
      <c r="E19" s="25" t="str">
        <f>IF(E10=(E13+E14+E15+E16+E17+E18), "ok", "nicht korrekt")</f>
        <v>ok</v>
      </c>
      <c r="F19" s="25"/>
      <c r="G19" s="25" t="str">
        <f>IF(G10=(G13+G14+G15+G16+G17+G18), "ok", "nicht korrekt")</f>
        <v>ok</v>
      </c>
      <c r="H19" s="15"/>
    </row>
    <row r="20" spans="1:9" ht="25.5" customHeight="1" thickBot="1" x14ac:dyDescent="0.3">
      <c r="A20" s="54"/>
      <c r="B20" s="29" t="s">
        <v>11</v>
      </c>
      <c r="C20" s="30"/>
      <c r="D20" s="30"/>
      <c r="E20" s="30"/>
      <c r="F20" s="37"/>
      <c r="G20" s="46"/>
      <c r="H20" s="15"/>
    </row>
    <row r="21" spans="1:9" ht="25.5" customHeight="1" x14ac:dyDescent="0.25">
      <c r="A21" s="54">
        <v>9</v>
      </c>
      <c r="B21" s="6" t="s">
        <v>4</v>
      </c>
      <c r="C21" s="7">
        <f>COUNTIFS('Gutachtenstatistik - Rohdaten'!H:H, 1, 'Gutachtenstatistik - Rohdaten'!I:I, 2, 'Gutachtenstatistik - Rohdaten'!J:J, 1, 'Gutachtenstatistik - Rohdaten'!L:L, 2, 'Gutachtenstatistik - Rohdaten'!M:M, 1)</f>
        <v>0</v>
      </c>
      <c r="D21" s="7">
        <f>COUNTIFS('Gutachtenstatistik - Rohdaten'!H:H, 1, 'Gutachtenstatistik - Rohdaten'!I:I, 2, 'Gutachtenstatistik - Rohdaten'!J:J, 1, 'Gutachtenstatistik - Rohdaten'!L:L, 2, 'Gutachtenstatistik - Rohdaten'!M:M, 2)</f>
        <v>0</v>
      </c>
      <c r="E21" s="19">
        <f>COUNTIFS('Gutachtenstatistik - Rohdaten'!H:H, 1, 'Gutachtenstatistik - Rohdaten'!I:I, 2, 'Gutachtenstatistik - Rohdaten'!J:J, 1, 'Gutachtenstatistik - Rohdaten'!L:L, 2, 'Gutachtenstatistik - Rohdaten'!M:M, 3)</f>
        <v>0</v>
      </c>
      <c r="F21" s="34"/>
      <c r="G21" s="47">
        <f>COUNTIFS('Gutachtenstatistik - Rohdaten'!H:H, 1, 'Gutachtenstatistik - Rohdaten'!I:I, 2, 'Gutachtenstatistik - Rohdaten'!J:J, 1, 'Gutachtenstatistik - Rohdaten'!L:L, 2)</f>
        <v>0</v>
      </c>
      <c r="H21" s="15" t="str">
        <f>IF(G21=(C21+D21+E21), "Quersumme ok", "nicht korrekt")</f>
        <v>Quersumme ok</v>
      </c>
    </row>
    <row r="22" spans="1:9" ht="25.5" customHeight="1" x14ac:dyDescent="0.25">
      <c r="A22" s="54">
        <v>10</v>
      </c>
      <c r="B22" s="9" t="s">
        <v>5</v>
      </c>
      <c r="C22" s="10">
        <f>COUNTIFS('Gutachtenstatistik - Rohdaten'!H:H, 1, 'Gutachtenstatistik - Rohdaten'!I:I, 2, 'Gutachtenstatistik - Rohdaten'!J:J, 2, 'Gutachtenstatistik - Rohdaten'!L:L, 2, 'Gutachtenstatistik - Rohdaten'!M:M, 1)</f>
        <v>0</v>
      </c>
      <c r="D22" s="10">
        <f>COUNTIFS('Gutachtenstatistik - Rohdaten'!H:H, 1, 'Gutachtenstatistik - Rohdaten'!I:I, 2, 'Gutachtenstatistik - Rohdaten'!J:J, 2,'Gutachtenstatistik - Rohdaten'!L:L, 2,  'Gutachtenstatistik - Rohdaten'!M:M, 2)</f>
        <v>0</v>
      </c>
      <c r="E22" s="20">
        <f>COUNTIFS('Gutachtenstatistik - Rohdaten'!H:H, 1, 'Gutachtenstatistik - Rohdaten'!I:I, 2, 'Gutachtenstatistik - Rohdaten'!J:J, 2, 'Gutachtenstatistik - Rohdaten'!L:L, 2, 'Gutachtenstatistik - Rohdaten'!M:M, 3)</f>
        <v>0</v>
      </c>
      <c r="F22" s="34"/>
      <c r="G22" s="48">
        <f>COUNTIFS('Gutachtenstatistik - Rohdaten'!H:H, 1, 'Gutachtenstatistik - Rohdaten'!I:I, 2, 'Gutachtenstatistik - Rohdaten'!J:J, 2, 'Gutachtenstatistik - Rohdaten'!L:L, 2)</f>
        <v>0</v>
      </c>
      <c r="H22" s="15" t="str">
        <f>IF(G22=(C22+D22+E22), "Quersumme ok", "nicht korrekt")</f>
        <v>Quersumme ok</v>
      </c>
    </row>
    <row r="23" spans="1:9" ht="25.5" customHeight="1" x14ac:dyDescent="0.25">
      <c r="A23" s="54">
        <v>11</v>
      </c>
      <c r="B23" s="9" t="s">
        <v>6</v>
      </c>
      <c r="C23" s="10">
        <f>COUNTIFS('Gutachtenstatistik - Rohdaten'!H:H, 1, 'Gutachtenstatistik - Rohdaten'!I:I, 2, 'Gutachtenstatistik - Rohdaten'!J:J, 3, 'Gutachtenstatistik - Rohdaten'!L:L, 2, 'Gutachtenstatistik - Rohdaten'!M:M, 1)</f>
        <v>0</v>
      </c>
      <c r="D23" s="10">
        <f>COUNTIFS('Gutachtenstatistik - Rohdaten'!H:H, 1, 'Gutachtenstatistik - Rohdaten'!I:I, 2, 'Gutachtenstatistik - Rohdaten'!J:J, 3,'Gutachtenstatistik - Rohdaten'!L:L, 2,  'Gutachtenstatistik - Rohdaten'!M:M, 2)</f>
        <v>0</v>
      </c>
      <c r="E23" s="20">
        <f>COUNTIFS('Gutachtenstatistik - Rohdaten'!H:H, 1, 'Gutachtenstatistik - Rohdaten'!I:I, 2, 'Gutachtenstatistik - Rohdaten'!J:J, 3, 'Gutachtenstatistik - Rohdaten'!L:L, 2, 'Gutachtenstatistik - Rohdaten'!M:M, 3)</f>
        <v>0</v>
      </c>
      <c r="F23" s="34"/>
      <c r="G23" s="48">
        <f>COUNTIFS('Gutachtenstatistik - Rohdaten'!H:H, 1, 'Gutachtenstatistik - Rohdaten'!I:I, 2, 'Gutachtenstatistik - Rohdaten'!J:J, 3, 'Gutachtenstatistik - Rohdaten'!L:L, 2)</f>
        <v>0</v>
      </c>
      <c r="H23" s="15" t="str">
        <f>IF(G23=(C23+D23+E23), "Quersumme ok", "nicht korrekt")</f>
        <v>Quersumme ok</v>
      </c>
    </row>
    <row r="24" spans="1:9" ht="25.5" customHeight="1" thickBot="1" x14ac:dyDescent="0.3">
      <c r="A24" s="54">
        <v>12</v>
      </c>
      <c r="B24" s="11" t="s">
        <v>7</v>
      </c>
      <c r="C24" s="12">
        <f>COUNTIFS('Gutachtenstatistik - Rohdaten'!H:H, 1, 'Gutachtenstatistik - Rohdaten'!I:I, 2, 'Gutachtenstatistik - Rohdaten'!J:J, 4, 'Gutachtenstatistik - Rohdaten'!L:L, 2, 'Gutachtenstatistik - Rohdaten'!M:M, 1)</f>
        <v>0</v>
      </c>
      <c r="D24" s="12">
        <f>COUNTIFS('Gutachtenstatistik - Rohdaten'!H:H, 1, 'Gutachtenstatistik - Rohdaten'!I:I, 2, 'Gutachtenstatistik - Rohdaten'!J:J, 4,'Gutachtenstatistik - Rohdaten'!L:L, 2,  'Gutachtenstatistik - Rohdaten'!M:M, 2)</f>
        <v>0</v>
      </c>
      <c r="E24" s="21">
        <f>COUNTIFS('Gutachtenstatistik - Rohdaten'!H:H, 1, 'Gutachtenstatistik - Rohdaten'!I:I, 2, 'Gutachtenstatistik - Rohdaten'!J:J, 4, 'Gutachtenstatistik - Rohdaten'!L:L, 2,  'Gutachtenstatistik - Rohdaten'!M:M, 3)</f>
        <v>0</v>
      </c>
      <c r="F24" s="34"/>
      <c r="G24" s="49">
        <f>COUNTIFS('Gutachtenstatistik - Rohdaten'!H:H, 1, 'Gutachtenstatistik - Rohdaten'!I:I, 2, 'Gutachtenstatistik - Rohdaten'!J:J, 4, 'Gutachtenstatistik - Rohdaten'!L:L, 2)</f>
        <v>0</v>
      </c>
      <c r="H24" s="15" t="str">
        <f>IF(G24=(C24+D24+E24), "Quersumme ok", "nicht korrekt")</f>
        <v>Quersumme ok</v>
      </c>
    </row>
    <row r="25" spans="1:9" ht="23.25" customHeight="1" thickBot="1" x14ac:dyDescent="0.3">
      <c r="A25" s="54">
        <v>13</v>
      </c>
      <c r="B25" s="41" t="s">
        <v>8</v>
      </c>
      <c r="C25" s="25" t="str">
        <f>IF(C10=(C21+C22+C23+C24), "ok", "nicht korrekt")</f>
        <v>ok</v>
      </c>
      <c r="D25" s="25" t="str">
        <f>IF(D10=(D21+D22+D23+D24), "ok", "nicht korrekt")</f>
        <v>ok</v>
      </c>
      <c r="E25" s="25" t="str">
        <f>IF(E10=(E21+E22+E23+E24), "ok", "nicht korrekt")</f>
        <v>ok</v>
      </c>
      <c r="F25" s="25"/>
      <c r="G25" s="25" t="str">
        <f>IF(G10=(G21+G22+G23+G24), "ok", "nicht korrekt")</f>
        <v>ok</v>
      </c>
      <c r="H25" s="15"/>
    </row>
    <row r="26" spans="1:9" ht="25.5" customHeight="1" thickTop="1" thickBot="1" x14ac:dyDescent="0.3">
      <c r="A26" s="54">
        <v>14</v>
      </c>
      <c r="B26" s="44" t="s">
        <v>92</v>
      </c>
      <c r="C26" s="26">
        <f>COUNTIFS('Gutachtenstatistik - Rohdaten'!H:H, 1, 'Gutachtenstatistik - Rohdaten'!I:I, 2, 'Gutachtenstatistik - Rohdaten'!L:L, 1, 'Gutachtenstatistik - Rohdaten'!M:M, 1)</f>
        <v>0</v>
      </c>
      <c r="D26" s="8">
        <f>COUNTIFS('Gutachtenstatistik - Rohdaten'!H:H, 1, 'Gutachtenstatistik - Rohdaten'!I:I, 2, 'Gutachtenstatistik - Rohdaten'!L:L, 1, 'Gutachtenstatistik - Rohdaten'!M:M, 2)</f>
        <v>0</v>
      </c>
      <c r="E26" s="22">
        <f>COUNTIFS('Gutachtenstatistik - Rohdaten'!H:H, 1, 'Gutachtenstatistik - Rohdaten'!I:I, 2, 'Gutachtenstatistik - Rohdaten'!L:L, 1, 'Gutachtenstatistik - Rohdaten'!M:M, 3)</f>
        <v>0</v>
      </c>
      <c r="F26" s="42"/>
      <c r="G26" s="50">
        <f>COUNTIFS('Gutachtenstatistik - Rohdaten'!H:H, 1, 'Gutachtenstatistik - Rohdaten'!I:I, 2, 'Gutachtenstatistik - Rohdaten'!L:L, 1)</f>
        <v>0</v>
      </c>
      <c r="H26" s="15" t="str">
        <f>IF(G26=(C26+D26+E26), "Quersumme ok", "nicht korrekt")</f>
        <v>Quersumme ok</v>
      </c>
    </row>
    <row r="27" spans="1:9" ht="15.75" customHeight="1" thickTop="1" thickBot="1" x14ac:dyDescent="0.3">
      <c r="A27" s="54"/>
      <c r="B27" s="45" t="s">
        <v>98</v>
      </c>
      <c r="C27" s="89"/>
      <c r="D27" s="90"/>
      <c r="E27" s="28"/>
      <c r="F27" s="17"/>
      <c r="G27" s="28"/>
      <c r="H27" s="15"/>
    </row>
    <row r="28" spans="1:9" ht="39" customHeight="1" thickBot="1" x14ac:dyDescent="0.3">
      <c r="A28" s="54"/>
      <c r="B28" s="108" t="s">
        <v>123</v>
      </c>
      <c r="C28" s="109"/>
      <c r="D28" s="91" t="s">
        <v>121</v>
      </c>
      <c r="E28" s="92" t="s">
        <v>122</v>
      </c>
      <c r="F28" s="27"/>
      <c r="G28" s="27"/>
      <c r="H28" s="98" t="s">
        <v>129</v>
      </c>
    </row>
    <row r="29" spans="1:9" ht="30" customHeight="1" x14ac:dyDescent="0.25">
      <c r="A29" s="54">
        <v>15</v>
      </c>
      <c r="B29" s="111" t="s">
        <v>126</v>
      </c>
      <c r="C29" s="112"/>
      <c r="D29" s="93">
        <f>SUMIFS('Gutachtenstatistik - Rohdaten'!N:N, 'Gutachtenstatistik - Rohdaten'!H:H, 1, 'Gutachtenstatistik - Rohdaten'!I:I, 2)</f>
        <v>0</v>
      </c>
      <c r="E29" s="94">
        <f>SUMIFS('Gutachtenstatistik - Rohdaten'!O:O, 'Gutachtenstatistik - Rohdaten'!H:H, 1, 'Gutachtenstatistik - Rohdaten'!I:I, 2)</f>
        <v>0</v>
      </c>
      <c r="F29" s="14"/>
      <c r="G29" s="83" t="str">
        <f>IF(E29&lt;=D29, "ok", "nicht korrekt; Anzahl der beantragten TE muss gleich oder größer sein als die Anzahl der befürworteten TE")</f>
        <v>ok</v>
      </c>
      <c r="H29" s="97" t="e">
        <f>E29/D29</f>
        <v>#DIV/0!</v>
      </c>
    </row>
    <row r="30" spans="1:9" ht="26.25" customHeight="1" thickBot="1" x14ac:dyDescent="0.3">
      <c r="A30" s="54">
        <v>16</v>
      </c>
      <c r="B30" s="103" t="s">
        <v>127</v>
      </c>
      <c r="C30" s="104"/>
      <c r="D30" s="95">
        <f>SUMIFS('Gutachtenstatistik - Rohdaten'!P:P, 'Gutachtenstatistik - Rohdaten'!H:H, 1, 'Gutachtenstatistik - Rohdaten'!I:I, 2)</f>
        <v>0</v>
      </c>
      <c r="E30" s="96">
        <f>SUMIFS('Gutachtenstatistik - Rohdaten'!Q:Q, 'Gutachtenstatistik - Rohdaten'!H:H, 1, 'Gutachtenstatistik - Rohdaten'!I:I, 2)</f>
        <v>0</v>
      </c>
      <c r="F30" s="17"/>
      <c r="G30" s="83" t="str">
        <f>IF(E30&lt;=D30, "ok", "nicht korrekt; Anzahl der beantragten TE muss gleich oder größer sein als die Anzahl der befürworteten TE")</f>
        <v>ok</v>
      </c>
      <c r="H30" s="97" t="e">
        <f>E30/D30</f>
        <v>#DIV/0!</v>
      </c>
    </row>
    <row r="31" spans="1:9" ht="7.5" customHeight="1" x14ac:dyDescent="0.25">
      <c r="A31" s="54"/>
      <c r="B31" s="51"/>
      <c r="C31" s="51"/>
      <c r="D31" s="52"/>
      <c r="E31" s="17"/>
      <c r="F31" s="17"/>
      <c r="G31" s="13"/>
      <c r="H31" s="1"/>
    </row>
    <row r="32" spans="1:9" ht="45.75" customHeight="1" x14ac:dyDescent="0.25">
      <c r="B32" s="105" t="s">
        <v>128</v>
      </c>
      <c r="C32" s="106"/>
      <c r="D32" s="106"/>
      <c r="E32" s="106"/>
      <c r="F32" s="106"/>
      <c r="G32" s="107"/>
      <c r="H32" s="1"/>
      <c r="I32" s="23"/>
    </row>
    <row r="33" spans="2:8" customFormat="1" ht="28.35" customHeight="1" x14ac:dyDescent="0.25">
      <c r="B33" s="1"/>
      <c r="C33" s="1"/>
      <c r="D33" s="1"/>
      <c r="E33" s="1"/>
      <c r="F33" s="1"/>
      <c r="G33" s="1"/>
      <c r="H33" s="1"/>
    </row>
    <row r="34" spans="2:8" customFormat="1" ht="28.35" customHeight="1" x14ac:dyDescent="0.25">
      <c r="B34" s="1"/>
      <c r="C34" s="1"/>
      <c r="D34" s="1"/>
      <c r="E34" s="1"/>
      <c r="F34" s="1"/>
      <c r="G34" s="1"/>
      <c r="H34" s="1"/>
    </row>
    <row r="35" spans="2:8" customFormat="1" ht="27.75" customHeight="1" x14ac:dyDescent="0.25">
      <c r="B35" s="1"/>
      <c r="C35" s="1"/>
      <c r="D35" s="1"/>
      <c r="E35" s="1"/>
      <c r="F35" s="1"/>
      <c r="G35" s="1"/>
      <c r="H35" s="1"/>
    </row>
    <row r="36" spans="2:8" customFormat="1" ht="28.35" customHeight="1" x14ac:dyDescent="0.25">
      <c r="B36" s="1"/>
      <c r="C36" s="1"/>
      <c r="D36" s="1"/>
      <c r="E36" s="1"/>
      <c r="F36" s="1"/>
      <c r="G36" s="1"/>
      <c r="H36" s="1"/>
    </row>
    <row r="37" spans="2:8" customFormat="1" ht="17.100000000000001" customHeight="1" x14ac:dyDescent="0.25">
      <c r="B37" s="1"/>
      <c r="C37" s="1"/>
      <c r="D37" s="1"/>
      <c r="E37" s="1"/>
      <c r="F37" s="1"/>
      <c r="G37" s="1"/>
      <c r="H37" s="1"/>
    </row>
    <row r="38" spans="2:8" customFormat="1" ht="27" customHeight="1" x14ac:dyDescent="0.25">
      <c r="B38" s="1"/>
      <c r="C38" s="1"/>
      <c r="D38" s="1"/>
      <c r="E38" s="1"/>
      <c r="F38" s="1"/>
      <c r="G38" s="1"/>
      <c r="H38" s="1"/>
    </row>
    <row r="39" spans="2:8" customFormat="1" ht="27" customHeight="1" x14ac:dyDescent="0.25">
      <c r="B39" s="1"/>
      <c r="C39" s="1"/>
      <c r="D39" s="1"/>
      <c r="E39" s="1"/>
      <c r="F39" s="1"/>
      <c r="G39" s="1"/>
      <c r="H39" s="1"/>
    </row>
    <row r="40" spans="2:8" customFormat="1" ht="27" customHeight="1" x14ac:dyDescent="0.25">
      <c r="B40" s="1"/>
      <c r="C40" s="1"/>
      <c r="D40" s="1"/>
      <c r="E40" s="1"/>
      <c r="F40" s="1"/>
      <c r="G40" s="1"/>
      <c r="H40" s="1"/>
    </row>
    <row r="41" spans="2:8" customFormat="1" x14ac:dyDescent="0.25">
      <c r="B41" s="1"/>
      <c r="C41" s="1"/>
      <c r="D41" s="1"/>
      <c r="E41" s="1"/>
      <c r="F41" s="1"/>
      <c r="G41" s="1"/>
      <c r="H41" s="1"/>
    </row>
    <row r="42" spans="2:8" customFormat="1" x14ac:dyDescent="0.25">
      <c r="B42" s="1"/>
      <c r="C42" s="1"/>
      <c r="D42" s="1"/>
      <c r="E42" s="1"/>
      <c r="F42" s="1"/>
      <c r="G42" s="1"/>
      <c r="H42" s="1"/>
    </row>
    <row r="43" spans="2:8" customFormat="1" x14ac:dyDescent="0.25">
      <c r="B43" s="1"/>
      <c r="C43" s="1"/>
      <c r="D43" s="1"/>
      <c r="E43" s="1"/>
      <c r="F43" s="1"/>
      <c r="G43" s="1"/>
      <c r="H43" s="1"/>
    </row>
    <row r="44" spans="2:8" customFormat="1" x14ac:dyDescent="0.25">
      <c r="B44" s="1"/>
      <c r="C44" s="1"/>
      <c r="D44" s="1"/>
      <c r="E44" s="1"/>
      <c r="F44" s="1"/>
      <c r="G44" s="1"/>
      <c r="H44" s="1"/>
    </row>
    <row r="45" spans="2:8" customFormat="1" x14ac:dyDescent="0.25">
      <c r="B45" s="1"/>
      <c r="C45" s="1"/>
      <c r="D45" s="1"/>
      <c r="E45" s="1"/>
      <c r="F45" s="1"/>
      <c r="G45" s="1"/>
      <c r="H45" s="1"/>
    </row>
    <row r="46" spans="2:8" customFormat="1" x14ac:dyDescent="0.25">
      <c r="B46" s="1"/>
      <c r="C46" s="1"/>
      <c r="D46" s="1"/>
      <c r="E46" s="1"/>
      <c r="F46" s="1"/>
      <c r="G46" s="1"/>
      <c r="H46" s="1"/>
    </row>
  </sheetData>
  <mergeCells count="11">
    <mergeCell ref="C7:G7"/>
    <mergeCell ref="B28:C28"/>
    <mergeCell ref="B29:C29"/>
    <mergeCell ref="B30:C30"/>
    <mergeCell ref="B32:G32"/>
    <mergeCell ref="C6:G6"/>
    <mergeCell ref="B1:G1"/>
    <mergeCell ref="C2:G2"/>
    <mergeCell ref="C3:G3"/>
    <mergeCell ref="C4:G4"/>
    <mergeCell ref="C5:G5"/>
  </mergeCells>
  <pageMargins left="0.25" right="0.25" top="0.75" bottom="0.75" header="0.3" footer="0.3"/>
  <pageSetup paperSize="9" orientation="portrait" r:id="rId1"/>
  <headerFooter>
    <oddHeader>&amp;C&amp;"-,Fett"&amp;14GUTACHTENSTATISTIK</oddHeader>
    <oddFooter>&amp;L&amp;9Seite &amp;P von &amp;N /  KBV  /  Gutachterstatistik Auswertungsmatrix  / Juli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6"/>
  <sheetViews>
    <sheetView view="pageLayout" zoomScaleNormal="140" workbookViewId="0">
      <selection activeCell="C2" sqref="C2:G2"/>
    </sheetView>
  </sheetViews>
  <sheetFormatPr baseColWidth="10" defaultColWidth="9.140625" defaultRowHeight="15" x14ac:dyDescent="0.25"/>
  <cols>
    <col min="1" max="1" width="4.28515625" style="53" customWidth="1"/>
    <col min="2" max="2" width="25" customWidth="1"/>
    <col min="3" max="3" width="14.28515625" customWidth="1"/>
    <col min="4" max="4" width="14.140625" customWidth="1"/>
    <col min="5" max="5" width="14.5703125" customWidth="1"/>
    <col min="6" max="6" width="1.28515625" customWidth="1"/>
    <col min="7" max="7" width="13.140625" customWidth="1"/>
    <col min="9" max="9" width="7.28515625" customWidth="1"/>
    <col min="10" max="10" width="23.28515625" customWidth="1"/>
    <col min="11" max="11" width="13.42578125" customWidth="1"/>
    <col min="12" max="12" width="13.28515625" customWidth="1"/>
    <col min="13" max="13" width="12.7109375" customWidth="1"/>
    <col min="14" max="14" width="3" customWidth="1"/>
    <col min="15" max="15" width="12.140625" customWidth="1"/>
  </cols>
  <sheetData>
    <row r="1" spans="1:8" ht="22.5" customHeight="1" x14ac:dyDescent="0.25">
      <c r="B1" s="102" t="s">
        <v>94</v>
      </c>
      <c r="C1" s="102"/>
      <c r="D1" s="102"/>
      <c r="E1" s="102"/>
      <c r="F1" s="102"/>
      <c r="G1" s="102"/>
      <c r="H1" s="1"/>
    </row>
    <row r="2" spans="1:8" ht="17.100000000000001" customHeight="1" x14ac:dyDescent="0.25">
      <c r="A2" s="54"/>
      <c r="B2" s="24" t="s">
        <v>13</v>
      </c>
      <c r="C2" s="99"/>
      <c r="D2" s="99"/>
      <c r="E2" s="99"/>
      <c r="F2" s="99"/>
      <c r="G2" s="99"/>
      <c r="H2" s="1"/>
    </row>
    <row r="3" spans="1:8" ht="17.100000000000001" customHeight="1" x14ac:dyDescent="0.25">
      <c r="A3" s="54"/>
      <c r="B3" s="24" t="s">
        <v>12</v>
      </c>
      <c r="C3" s="100"/>
      <c r="D3" s="100"/>
      <c r="E3" s="100"/>
      <c r="F3" s="100"/>
      <c r="G3" s="100"/>
      <c r="H3" s="1"/>
    </row>
    <row r="4" spans="1:8" ht="17.100000000000001" customHeight="1" x14ac:dyDescent="0.25">
      <c r="A4" s="54"/>
      <c r="B4" s="24" t="s">
        <v>14</v>
      </c>
      <c r="C4" s="101"/>
      <c r="D4" s="101"/>
      <c r="E4" s="101"/>
      <c r="F4" s="101"/>
      <c r="G4" s="101"/>
      <c r="H4" s="1"/>
    </row>
    <row r="5" spans="1:8" ht="17.100000000000001" customHeight="1" x14ac:dyDescent="0.25">
      <c r="A5" s="54"/>
      <c r="B5" s="24" t="s">
        <v>20</v>
      </c>
      <c r="C5" s="100"/>
      <c r="D5" s="100"/>
      <c r="E5" s="100"/>
      <c r="F5" s="100"/>
      <c r="G5" s="100"/>
      <c r="H5" s="1"/>
    </row>
    <row r="6" spans="1:8" ht="17.100000000000001" customHeight="1" x14ac:dyDescent="0.25">
      <c r="A6" s="54"/>
      <c r="B6" s="24" t="s">
        <v>85</v>
      </c>
      <c r="C6" s="101"/>
      <c r="D6" s="101"/>
      <c r="E6" s="101"/>
      <c r="F6" s="101"/>
      <c r="G6" s="101"/>
      <c r="H6" s="1"/>
    </row>
    <row r="7" spans="1:8" ht="17.100000000000001" customHeight="1" x14ac:dyDescent="0.25">
      <c r="A7" s="54"/>
      <c r="B7" s="43" t="s">
        <v>15</v>
      </c>
      <c r="C7" s="110"/>
      <c r="D7" s="110"/>
      <c r="E7" s="110"/>
      <c r="F7" s="110"/>
      <c r="G7" s="110"/>
      <c r="H7" s="2"/>
    </row>
    <row r="8" spans="1:8" ht="17.100000000000001" customHeight="1" thickBot="1" x14ac:dyDescent="0.3">
      <c r="A8" s="54"/>
      <c r="B8" s="24" t="s">
        <v>21</v>
      </c>
      <c r="C8" s="100" t="s">
        <v>95</v>
      </c>
      <c r="D8" s="100"/>
      <c r="E8" s="100"/>
      <c r="F8" s="100"/>
      <c r="G8" s="100"/>
    </row>
    <row r="9" spans="1:8" ht="27.75" customHeight="1" thickBot="1" x14ac:dyDescent="0.3">
      <c r="A9" s="54"/>
      <c r="B9" s="3"/>
      <c r="C9" s="4" t="s">
        <v>16</v>
      </c>
      <c r="D9" s="4" t="s">
        <v>17</v>
      </c>
      <c r="E9" s="18" t="s">
        <v>18</v>
      </c>
      <c r="F9" s="36"/>
      <c r="G9" s="32" t="s">
        <v>19</v>
      </c>
      <c r="H9" s="1"/>
    </row>
    <row r="10" spans="1:8" ht="22.5" customHeight="1" thickTop="1" thickBot="1" x14ac:dyDescent="0.3">
      <c r="A10" s="54">
        <v>1</v>
      </c>
      <c r="B10" s="16" t="s">
        <v>22</v>
      </c>
      <c r="C10" s="5">
        <f>COUNTIFS('Gutachtenstatistik - Rohdaten'!H:H, 4, 'Gutachtenstatistik - Rohdaten'!I:I, 1, 'Gutachtenstatistik - Rohdaten'!L:L, 2, 'Gutachtenstatistik - Rohdaten'!M:M, 1)</f>
        <v>0</v>
      </c>
      <c r="D10" s="5">
        <f>COUNTIFS('Gutachtenstatistik - Rohdaten'!H:H, 4, 'Gutachtenstatistik - Rohdaten'!I:I, 1, 'Gutachtenstatistik - Rohdaten'!L:L, 2, 'Gutachtenstatistik - Rohdaten'!M:M, 2)</f>
        <v>0</v>
      </c>
      <c r="E10" s="31">
        <f>COUNTIFS('Gutachtenstatistik - Rohdaten'!H:H, 4, 'Gutachtenstatistik - Rohdaten'!I:I, 1, 'Gutachtenstatistik - Rohdaten'!L:L, 2, 'Gutachtenstatistik - Rohdaten'!M:M, 3)</f>
        <v>0</v>
      </c>
      <c r="F10" s="35"/>
      <c r="G10" s="33">
        <f>COUNTIFS('Gutachtenstatistik - Rohdaten'!H:H, 4, 'Gutachtenstatistik - Rohdaten'!I:I, 1, 'Gutachtenstatistik - Rohdaten'!L:L, 2)</f>
        <v>0</v>
      </c>
      <c r="H10" s="15" t="str">
        <f>IF(G10=(C10+D10+E10), "Quersumme ok", "nicht korrekt")</f>
        <v>Quersumme ok</v>
      </c>
    </row>
    <row r="11" spans="1:8" ht="6.75" customHeight="1" thickBot="1" x14ac:dyDescent="0.3">
      <c r="A11" s="54"/>
      <c r="B11" s="39"/>
      <c r="C11" s="38"/>
      <c r="D11" s="38"/>
      <c r="E11" s="38"/>
      <c r="F11" s="40"/>
      <c r="G11" s="38"/>
      <c r="H11" s="15"/>
    </row>
    <row r="12" spans="1:8" ht="25.5" customHeight="1" thickBot="1" x14ac:dyDescent="0.3">
      <c r="A12" s="54"/>
      <c r="B12" s="29" t="s">
        <v>10</v>
      </c>
      <c r="C12" s="30"/>
      <c r="D12" s="30"/>
      <c r="E12" s="30"/>
      <c r="F12" s="37"/>
      <c r="G12" s="46"/>
      <c r="H12" s="15"/>
    </row>
    <row r="13" spans="1:8" ht="25.5" customHeight="1" x14ac:dyDescent="0.25">
      <c r="A13" s="54">
        <v>2</v>
      </c>
      <c r="B13" s="6" t="s">
        <v>0</v>
      </c>
      <c r="C13" s="7">
        <f>COUNTIFS('Gutachtenstatistik - Rohdaten'!H:H, 4, 'Gutachtenstatistik - Rohdaten'!I:I, 1, 'Gutachtenstatistik - Rohdaten'!K:K, 1, 'Gutachtenstatistik - Rohdaten'!L:L, 2, 'Gutachtenstatistik - Rohdaten'!M:M, 1)</f>
        <v>0</v>
      </c>
      <c r="D13" s="7">
        <f>COUNTIFS('Gutachtenstatistik - Rohdaten'!H:H, 4, 'Gutachtenstatistik - Rohdaten'!I:I, 1, 'Gutachtenstatistik - Rohdaten'!K:K, 1, 'Gutachtenstatistik - Rohdaten'!L:L, 2, 'Gutachtenstatistik - Rohdaten'!M:M, 2)</f>
        <v>0</v>
      </c>
      <c r="E13" s="19">
        <f>COUNTIFS('Gutachtenstatistik - Rohdaten'!H:H, 4, 'Gutachtenstatistik - Rohdaten'!I:I, 1, 'Gutachtenstatistik - Rohdaten'!K:K, 1, 'Gutachtenstatistik - Rohdaten'!L:L, 2, 'Gutachtenstatistik - Rohdaten'!M:M, 3)</f>
        <v>0</v>
      </c>
      <c r="F13" s="34"/>
      <c r="G13" s="47">
        <f>COUNTIFS('Gutachtenstatistik - Rohdaten'!H:H, 4, 'Gutachtenstatistik - Rohdaten'!I:I, 1, 'Gutachtenstatistik - Rohdaten'!K:K, 1, 'Gutachtenstatistik - Rohdaten'!L:L, 2)</f>
        <v>0</v>
      </c>
      <c r="H13" s="15" t="str">
        <f t="shared" ref="H13:H18" si="0">IF(G13=(C13+D13+E13), "Quersumme ok", "nicht korrekt")</f>
        <v>Quersumme ok</v>
      </c>
    </row>
    <row r="14" spans="1:8" ht="25.5" customHeight="1" x14ac:dyDescent="0.25">
      <c r="A14" s="54">
        <v>3</v>
      </c>
      <c r="B14" s="9" t="s">
        <v>9</v>
      </c>
      <c r="C14" s="10">
        <f>COUNTIFS('Gutachtenstatistik - Rohdaten'!H:H, 4, 'Gutachtenstatistik - Rohdaten'!I:I, 1, 'Gutachtenstatistik - Rohdaten'!K:K, 2, 'Gutachtenstatistik - Rohdaten'!L:L, 2, 'Gutachtenstatistik - Rohdaten'!M:M, 1)</f>
        <v>0</v>
      </c>
      <c r="D14" s="10">
        <f>COUNTIFS('Gutachtenstatistik - Rohdaten'!H:H, 4, 'Gutachtenstatistik - Rohdaten'!I:I, 1, 'Gutachtenstatistik - Rohdaten'!K:K, 2, 'Gutachtenstatistik - Rohdaten'!L:L, 2, 'Gutachtenstatistik - Rohdaten'!M:M, 2)</f>
        <v>0</v>
      </c>
      <c r="E14" s="20">
        <f>COUNTIFS('Gutachtenstatistik - Rohdaten'!H:H, 4, 'Gutachtenstatistik - Rohdaten'!I:I, 1, 'Gutachtenstatistik - Rohdaten'!K:K, 2, 'Gutachtenstatistik - Rohdaten'!L:L, 2, 'Gutachtenstatistik - Rohdaten'!M:M, 3)</f>
        <v>0</v>
      </c>
      <c r="F14" s="34"/>
      <c r="G14" s="48">
        <f>COUNTIFS('Gutachtenstatistik - Rohdaten'!H:H, 4, 'Gutachtenstatistik - Rohdaten'!I:I, 1, 'Gutachtenstatistik - Rohdaten'!K:K, 2, 'Gutachtenstatistik - Rohdaten'!L:L, 2)</f>
        <v>0</v>
      </c>
      <c r="H14" s="15" t="str">
        <f t="shared" si="0"/>
        <v>Quersumme ok</v>
      </c>
    </row>
    <row r="15" spans="1:8" ht="25.5" customHeight="1" x14ac:dyDescent="0.25">
      <c r="A15" s="54">
        <v>4</v>
      </c>
      <c r="B15" s="9" t="s">
        <v>1</v>
      </c>
      <c r="C15" s="10">
        <f>COUNTIFS('Gutachtenstatistik - Rohdaten'!H:H, 4, 'Gutachtenstatistik - Rohdaten'!I:I, 1, 'Gutachtenstatistik - Rohdaten'!K:K, 3, 'Gutachtenstatistik - Rohdaten'!L:L, 2, 'Gutachtenstatistik - Rohdaten'!M:M, 1)</f>
        <v>0</v>
      </c>
      <c r="D15" s="10">
        <f>COUNTIFS('Gutachtenstatistik - Rohdaten'!H:H, 4, 'Gutachtenstatistik - Rohdaten'!I:I, 1, 'Gutachtenstatistik - Rohdaten'!K:K, 3, 'Gutachtenstatistik - Rohdaten'!L:L, 2, 'Gutachtenstatistik - Rohdaten'!M:M, 2)</f>
        <v>0</v>
      </c>
      <c r="E15" s="20">
        <f>COUNTIFS('Gutachtenstatistik - Rohdaten'!H:H, 4, 'Gutachtenstatistik - Rohdaten'!I:I, 1, 'Gutachtenstatistik - Rohdaten'!K:K, 3, 'Gutachtenstatistik - Rohdaten'!L:L, 2, 'Gutachtenstatistik - Rohdaten'!M:M, 3)</f>
        <v>0</v>
      </c>
      <c r="F15" s="34"/>
      <c r="G15" s="48">
        <f>COUNTIFS('Gutachtenstatistik - Rohdaten'!H:H, 4, 'Gutachtenstatistik - Rohdaten'!I:I, 1, 'Gutachtenstatistik - Rohdaten'!K:K, 3, 'Gutachtenstatistik - Rohdaten'!L:L, 2)</f>
        <v>0</v>
      </c>
      <c r="H15" s="15" t="str">
        <f t="shared" si="0"/>
        <v>Quersumme ok</v>
      </c>
    </row>
    <row r="16" spans="1:8" ht="25.5" customHeight="1" x14ac:dyDescent="0.25">
      <c r="A16" s="54">
        <v>5</v>
      </c>
      <c r="B16" s="9" t="s">
        <v>2</v>
      </c>
      <c r="C16" s="10">
        <f>COUNTIFS('Gutachtenstatistik - Rohdaten'!H:H, 4, 'Gutachtenstatistik - Rohdaten'!I:I, 1, 'Gutachtenstatistik - Rohdaten'!K:K, 4, 'Gutachtenstatistik - Rohdaten'!L:L, 2, 'Gutachtenstatistik - Rohdaten'!M:M, 1)</f>
        <v>0</v>
      </c>
      <c r="D16" s="10">
        <f>COUNTIFS('Gutachtenstatistik - Rohdaten'!H:H, 4, 'Gutachtenstatistik - Rohdaten'!I:I, 1, 'Gutachtenstatistik - Rohdaten'!K:K, 4, 'Gutachtenstatistik - Rohdaten'!L:L, 2, 'Gutachtenstatistik - Rohdaten'!M:M, 2)</f>
        <v>0</v>
      </c>
      <c r="E16" s="20">
        <f>COUNTIFS('Gutachtenstatistik - Rohdaten'!H:H, 4, 'Gutachtenstatistik - Rohdaten'!I:I, 1, 'Gutachtenstatistik - Rohdaten'!K:K, 4, 'Gutachtenstatistik - Rohdaten'!L:L, 2, 'Gutachtenstatistik - Rohdaten'!M:M, 3)</f>
        <v>0</v>
      </c>
      <c r="F16" s="34"/>
      <c r="G16" s="48">
        <f>COUNTIFS('Gutachtenstatistik - Rohdaten'!H:H, 4, 'Gutachtenstatistik - Rohdaten'!I:I, 1, 'Gutachtenstatistik - Rohdaten'!K:K, 4, 'Gutachtenstatistik - Rohdaten'!L:L, 2)</f>
        <v>0</v>
      </c>
      <c r="H16" s="15" t="str">
        <f t="shared" si="0"/>
        <v>Quersumme ok</v>
      </c>
    </row>
    <row r="17" spans="1:9" ht="25.5" customHeight="1" x14ac:dyDescent="0.25">
      <c r="A17" s="54">
        <v>6</v>
      </c>
      <c r="B17" s="9" t="s">
        <v>3</v>
      </c>
      <c r="C17" s="10">
        <f>COUNTIFS('Gutachtenstatistik - Rohdaten'!H:H, 4, 'Gutachtenstatistik - Rohdaten'!I:I, 1, 'Gutachtenstatistik - Rohdaten'!K:K, 5, 'Gutachtenstatistik - Rohdaten'!L:L, 2, 'Gutachtenstatistik - Rohdaten'!M:M, 1)</f>
        <v>0</v>
      </c>
      <c r="D17" s="10">
        <f>COUNTIFS('Gutachtenstatistik - Rohdaten'!H:H, 4, 'Gutachtenstatistik - Rohdaten'!I:I, 1, 'Gutachtenstatistik - Rohdaten'!K:K, 5, 'Gutachtenstatistik - Rohdaten'!L:L, 2, 'Gutachtenstatistik - Rohdaten'!M:M, 2)</f>
        <v>0</v>
      </c>
      <c r="E17" s="20">
        <f>COUNTIFS('Gutachtenstatistik - Rohdaten'!H:H, 4, 'Gutachtenstatistik - Rohdaten'!I:I, 1, 'Gutachtenstatistik - Rohdaten'!K:K, 5, 'Gutachtenstatistik - Rohdaten'!L:L, 2, 'Gutachtenstatistik - Rohdaten'!M:M, 3)</f>
        <v>0</v>
      </c>
      <c r="F17" s="34"/>
      <c r="G17" s="48">
        <f>COUNTIFS('Gutachtenstatistik - Rohdaten'!H:H, 4, 'Gutachtenstatistik - Rohdaten'!I:I, 1, 'Gutachtenstatistik - Rohdaten'!K:K, 5, 'Gutachtenstatistik - Rohdaten'!L:L, 2)</f>
        <v>0</v>
      </c>
      <c r="H17" s="15" t="str">
        <f t="shared" si="0"/>
        <v>Quersumme ok</v>
      </c>
    </row>
    <row r="18" spans="1:9" ht="25.5" customHeight="1" thickBot="1" x14ac:dyDescent="0.3">
      <c r="A18" s="54">
        <v>7</v>
      </c>
      <c r="B18" s="11" t="s">
        <v>29</v>
      </c>
      <c r="C18" s="12">
        <f>COUNTIFS('Gutachtenstatistik - Rohdaten'!H:H, 4, 'Gutachtenstatistik - Rohdaten'!I:I, 1, 'Gutachtenstatistik - Rohdaten'!K:K, 6, 'Gutachtenstatistik - Rohdaten'!L:L, 2, 'Gutachtenstatistik - Rohdaten'!M:M, 1)</f>
        <v>0</v>
      </c>
      <c r="D18" s="12">
        <f>COUNTIFS('Gutachtenstatistik - Rohdaten'!H:H, 4, 'Gutachtenstatistik - Rohdaten'!I:I, 1, 'Gutachtenstatistik - Rohdaten'!K:K, 6, 'Gutachtenstatistik - Rohdaten'!L:L, 2, 'Gutachtenstatistik - Rohdaten'!M:M, 2)</f>
        <v>0</v>
      </c>
      <c r="E18" s="21">
        <f>COUNTIFS('Gutachtenstatistik - Rohdaten'!H:H, 4, 'Gutachtenstatistik - Rohdaten'!I:I, 1, 'Gutachtenstatistik - Rohdaten'!K:K, 6, 'Gutachtenstatistik - Rohdaten'!L:L, 2, 'Gutachtenstatistik - Rohdaten'!M:M, 3)</f>
        <v>0</v>
      </c>
      <c r="F18" s="34"/>
      <c r="G18" s="49">
        <f>COUNTIFS('Gutachtenstatistik - Rohdaten'!H:H, 4, 'Gutachtenstatistik - Rohdaten'!I:I, 1, 'Gutachtenstatistik - Rohdaten'!K:K, 6, 'Gutachtenstatistik - Rohdaten'!L:L, 2)</f>
        <v>0</v>
      </c>
      <c r="H18" s="15" t="str">
        <f t="shared" si="0"/>
        <v>Quersumme ok</v>
      </c>
    </row>
    <row r="19" spans="1:9" ht="22.5" customHeight="1" thickBot="1" x14ac:dyDescent="0.3">
      <c r="A19" s="54">
        <v>8</v>
      </c>
      <c r="B19" s="41" t="s">
        <v>8</v>
      </c>
      <c r="C19" s="25" t="str">
        <f>IF(C10=(C13+C14+C15+C16+C17+C18), "ok", "nicht korrekt")</f>
        <v>ok</v>
      </c>
      <c r="D19" s="25" t="str">
        <f>IF(D10=(D13+D14+D15+D16+D17+D18), "ok", "nicht korrekt")</f>
        <v>ok</v>
      </c>
      <c r="E19" s="25" t="str">
        <f>IF(E10=(E13+E14+E15+E16+E17+E18), "ok", "nicht korrekt")</f>
        <v>ok</v>
      </c>
      <c r="F19" s="25"/>
      <c r="G19" s="25" t="str">
        <f>IF(G10=(G13+G14+G15+G16+G17+G18), "ok", "nicht korrekt")</f>
        <v>ok</v>
      </c>
      <c r="H19" s="15"/>
    </row>
    <row r="20" spans="1:9" ht="25.5" customHeight="1" thickBot="1" x14ac:dyDescent="0.3">
      <c r="A20" s="54"/>
      <c r="B20" s="29" t="s">
        <v>11</v>
      </c>
      <c r="C20" s="30"/>
      <c r="D20" s="30"/>
      <c r="E20" s="30"/>
      <c r="F20" s="37"/>
      <c r="G20" s="46"/>
      <c r="H20" s="15"/>
    </row>
    <row r="21" spans="1:9" ht="25.5" customHeight="1" x14ac:dyDescent="0.25">
      <c r="A21" s="54">
        <v>9</v>
      </c>
      <c r="B21" s="6" t="s">
        <v>4</v>
      </c>
      <c r="C21" s="7">
        <f>COUNTIFS('Gutachtenstatistik - Rohdaten'!H:H, 4, 'Gutachtenstatistik - Rohdaten'!I:I, 1, 'Gutachtenstatistik - Rohdaten'!J:J, 1, 'Gutachtenstatistik - Rohdaten'!L:L, 2, 'Gutachtenstatistik - Rohdaten'!M:M, 1)</f>
        <v>0</v>
      </c>
      <c r="D21" s="7">
        <f>COUNTIFS('Gutachtenstatistik - Rohdaten'!H:H, 4, 'Gutachtenstatistik - Rohdaten'!I:I, 1, 'Gutachtenstatistik - Rohdaten'!J:J, 1, 'Gutachtenstatistik - Rohdaten'!L:L, 2, 'Gutachtenstatistik - Rohdaten'!M:M, 2)</f>
        <v>0</v>
      </c>
      <c r="E21" s="19">
        <f>COUNTIFS('Gutachtenstatistik - Rohdaten'!H:H, 4, 'Gutachtenstatistik - Rohdaten'!I:I, 1, 'Gutachtenstatistik - Rohdaten'!J:J, 1, 'Gutachtenstatistik - Rohdaten'!L:L, 2, 'Gutachtenstatistik - Rohdaten'!M:M, 3)</f>
        <v>0</v>
      </c>
      <c r="F21" s="34"/>
      <c r="G21" s="47">
        <f>COUNTIFS('Gutachtenstatistik - Rohdaten'!H:H, 4, 'Gutachtenstatistik - Rohdaten'!I:I, 1, 'Gutachtenstatistik - Rohdaten'!J:J, 1, 'Gutachtenstatistik - Rohdaten'!L:L, 2)</f>
        <v>0</v>
      </c>
      <c r="H21" s="15" t="str">
        <f>IF(G21=(C21+D21+E21), "Quersumme ok", "nicht korrekt")</f>
        <v>Quersumme ok</v>
      </c>
    </row>
    <row r="22" spans="1:9" ht="25.5" customHeight="1" x14ac:dyDescent="0.25">
      <c r="A22" s="54">
        <v>10</v>
      </c>
      <c r="B22" s="9" t="s">
        <v>5</v>
      </c>
      <c r="C22" s="10">
        <f>COUNTIFS('Gutachtenstatistik - Rohdaten'!H:H, 4, 'Gutachtenstatistik - Rohdaten'!I:I, 1, 'Gutachtenstatistik - Rohdaten'!J:J, 2, 'Gutachtenstatistik - Rohdaten'!L:L, 2, 'Gutachtenstatistik - Rohdaten'!M:M, 1)</f>
        <v>0</v>
      </c>
      <c r="D22" s="10">
        <f>COUNTIFS('Gutachtenstatistik - Rohdaten'!H:H, 4, 'Gutachtenstatistik - Rohdaten'!I:I, 1, 'Gutachtenstatistik - Rohdaten'!J:J, 2, 'Gutachtenstatistik - Rohdaten'!L:L, 2, 'Gutachtenstatistik - Rohdaten'!M:M, 2)</f>
        <v>0</v>
      </c>
      <c r="E22" s="20">
        <f>COUNTIFS('Gutachtenstatistik - Rohdaten'!H:H, 4, 'Gutachtenstatistik - Rohdaten'!I:I, 1, 'Gutachtenstatistik - Rohdaten'!J:J, 2, 'Gutachtenstatistik - Rohdaten'!L:L, 2, 'Gutachtenstatistik - Rohdaten'!M:M, 3)</f>
        <v>0</v>
      </c>
      <c r="F22" s="34"/>
      <c r="G22" s="48">
        <f>COUNTIFS('Gutachtenstatistik - Rohdaten'!H:H, 4, 'Gutachtenstatistik - Rohdaten'!I:I, 1, 'Gutachtenstatistik - Rohdaten'!J:J, 2, 'Gutachtenstatistik - Rohdaten'!L:L, 2)</f>
        <v>0</v>
      </c>
      <c r="H22" s="15" t="str">
        <f>IF(G22=(C22+D22+E22), "Quersumme ok", "nicht korrekt")</f>
        <v>Quersumme ok</v>
      </c>
    </row>
    <row r="23" spans="1:9" ht="25.5" customHeight="1" x14ac:dyDescent="0.25">
      <c r="A23" s="54">
        <v>11</v>
      </c>
      <c r="B23" s="9" t="s">
        <v>6</v>
      </c>
      <c r="C23" s="10">
        <f>COUNTIFS('Gutachtenstatistik - Rohdaten'!H:H, 4, 'Gutachtenstatistik - Rohdaten'!I:I, 1, 'Gutachtenstatistik - Rohdaten'!J:J, 3, 'Gutachtenstatistik - Rohdaten'!L:L, 2, 'Gutachtenstatistik - Rohdaten'!M:M, 1)</f>
        <v>0</v>
      </c>
      <c r="D23" s="10">
        <f>COUNTIFS('Gutachtenstatistik - Rohdaten'!H:H, 4, 'Gutachtenstatistik - Rohdaten'!I:I, 1, 'Gutachtenstatistik - Rohdaten'!J:J, 3, 'Gutachtenstatistik - Rohdaten'!L:L, 2, 'Gutachtenstatistik - Rohdaten'!M:M, 2)</f>
        <v>0</v>
      </c>
      <c r="E23" s="20">
        <f>COUNTIFS('Gutachtenstatistik - Rohdaten'!H:H, 4, 'Gutachtenstatistik - Rohdaten'!I:I, 1, 'Gutachtenstatistik - Rohdaten'!J:J, 3, 'Gutachtenstatistik - Rohdaten'!L:L, 2, 'Gutachtenstatistik - Rohdaten'!M:M, 3)</f>
        <v>0</v>
      </c>
      <c r="F23" s="34"/>
      <c r="G23" s="48">
        <f>COUNTIFS('Gutachtenstatistik - Rohdaten'!H:H, 4, 'Gutachtenstatistik - Rohdaten'!I:I, 1, 'Gutachtenstatistik - Rohdaten'!J:J, 3, 'Gutachtenstatistik - Rohdaten'!L:L, 2)</f>
        <v>0</v>
      </c>
      <c r="H23" s="15" t="str">
        <f>IF(G23=(C23+D23+E23), "Quersumme ok", "nicht korrekt")</f>
        <v>Quersumme ok</v>
      </c>
    </row>
    <row r="24" spans="1:9" ht="25.5" customHeight="1" thickBot="1" x14ac:dyDescent="0.3">
      <c r="A24" s="54">
        <v>12</v>
      </c>
      <c r="B24" s="11" t="s">
        <v>7</v>
      </c>
      <c r="C24" s="12">
        <f>COUNTIFS('Gutachtenstatistik - Rohdaten'!H:H, 4, 'Gutachtenstatistik - Rohdaten'!I:I, 1, 'Gutachtenstatistik - Rohdaten'!J:J, 4, 'Gutachtenstatistik - Rohdaten'!L:L, 2, 'Gutachtenstatistik - Rohdaten'!M:M, 1)</f>
        <v>0</v>
      </c>
      <c r="D24" s="12">
        <f>COUNTIFS('Gutachtenstatistik - Rohdaten'!H:H, 4, 'Gutachtenstatistik - Rohdaten'!I:I, 1, 'Gutachtenstatistik - Rohdaten'!J:J, 4, 'Gutachtenstatistik - Rohdaten'!L:L, 2, 'Gutachtenstatistik - Rohdaten'!M:M, 2)</f>
        <v>0</v>
      </c>
      <c r="E24" s="21">
        <f>COUNTIFS('Gutachtenstatistik - Rohdaten'!H:H, 4, 'Gutachtenstatistik - Rohdaten'!I:I, 1, 'Gutachtenstatistik - Rohdaten'!J:J, 4, 'Gutachtenstatistik - Rohdaten'!L:L, 2, 'Gutachtenstatistik - Rohdaten'!M:M, 3)</f>
        <v>0</v>
      </c>
      <c r="F24" s="34"/>
      <c r="G24" s="49">
        <f>COUNTIFS('Gutachtenstatistik - Rohdaten'!H:H, 4, 'Gutachtenstatistik - Rohdaten'!I:I, 1, 'Gutachtenstatistik - Rohdaten'!J:J, 4, 'Gutachtenstatistik - Rohdaten'!L:L, 2)</f>
        <v>0</v>
      </c>
      <c r="H24" s="15" t="str">
        <f>IF(G24=(C24+D24+E24), "Quersumme ok", "nicht korrekt")</f>
        <v>Quersumme ok</v>
      </c>
    </row>
    <row r="25" spans="1:9" ht="23.25" customHeight="1" thickBot="1" x14ac:dyDescent="0.3">
      <c r="A25" s="54">
        <v>13</v>
      </c>
      <c r="B25" s="41" t="s">
        <v>8</v>
      </c>
      <c r="C25" s="25" t="str">
        <f>IF(C10=(C21+C22+C23+C24), "ok", "nicht korrekt")</f>
        <v>ok</v>
      </c>
      <c r="D25" s="25" t="str">
        <f>IF(D10=(D21+D22+D23+D24), "ok", "nicht korrekt")</f>
        <v>ok</v>
      </c>
      <c r="E25" s="25" t="str">
        <f>IF(E10=(E21+E22+E23+E24), "ok", "nicht korrekt")</f>
        <v>ok</v>
      </c>
      <c r="F25" s="25"/>
      <c r="G25" s="25" t="str">
        <f>IF(G10=(G21+G22+G23+G24), "ok", "nicht korrekt")</f>
        <v>ok</v>
      </c>
      <c r="H25" s="15"/>
    </row>
    <row r="26" spans="1:9" ht="25.5" customHeight="1" thickTop="1" thickBot="1" x14ac:dyDescent="0.3">
      <c r="A26" s="54">
        <v>14</v>
      </c>
      <c r="B26" s="44" t="s">
        <v>92</v>
      </c>
      <c r="C26" s="26">
        <f>COUNTIFS('Gutachtenstatistik - Rohdaten'!H:H, 4, 'Gutachtenstatistik - Rohdaten'!I:I, 1, 'Gutachtenstatistik - Rohdaten'!L:L, 1, 'Gutachtenstatistik - Rohdaten'!M:M, 1)</f>
        <v>0</v>
      </c>
      <c r="D26" s="8">
        <f>COUNTIFS('Gutachtenstatistik - Rohdaten'!H:H, 4, 'Gutachtenstatistik - Rohdaten'!I:I, 1, 'Gutachtenstatistik - Rohdaten'!L:L, 1, 'Gutachtenstatistik - Rohdaten'!M:M, 2)</f>
        <v>0</v>
      </c>
      <c r="E26" s="22">
        <f>COUNTIFS('Gutachtenstatistik - Rohdaten'!H:H, 4, 'Gutachtenstatistik - Rohdaten'!I:I, 1, 'Gutachtenstatistik - Rohdaten'!L:L, 1, 'Gutachtenstatistik - Rohdaten'!M:M, 3)</f>
        <v>0</v>
      </c>
      <c r="F26" s="42"/>
      <c r="G26" s="50">
        <f>COUNTIFS('Gutachtenstatistik - Rohdaten'!H:H, 4, 'Gutachtenstatistik - Rohdaten'!I:I, 1, 'Gutachtenstatistik - Rohdaten'!L:L, 1)</f>
        <v>0</v>
      </c>
      <c r="H26" s="15" t="str">
        <f>IF(G26=(C26+D26+E26), "Quersumme ok", "nicht korrekt")</f>
        <v>Quersumme ok</v>
      </c>
    </row>
    <row r="27" spans="1:9" ht="15.75" customHeight="1" thickTop="1" thickBot="1" x14ac:dyDescent="0.3">
      <c r="A27" s="54"/>
      <c r="B27" s="45" t="s">
        <v>98</v>
      </c>
      <c r="C27" s="89"/>
      <c r="D27" s="90"/>
      <c r="E27" s="28"/>
      <c r="F27" s="17"/>
      <c r="G27" s="28"/>
      <c r="H27" s="15"/>
    </row>
    <row r="28" spans="1:9" ht="39" customHeight="1" thickBot="1" x14ac:dyDescent="0.3">
      <c r="A28" s="54"/>
      <c r="B28" s="113" t="s">
        <v>123</v>
      </c>
      <c r="C28" s="114"/>
      <c r="D28" s="91" t="s">
        <v>121</v>
      </c>
      <c r="E28" s="92" t="s">
        <v>122</v>
      </c>
      <c r="F28" s="27"/>
      <c r="G28" s="27"/>
      <c r="H28" s="98" t="s">
        <v>129</v>
      </c>
    </row>
    <row r="29" spans="1:9" ht="30" customHeight="1" x14ac:dyDescent="0.25">
      <c r="A29" s="54">
        <v>15</v>
      </c>
      <c r="B29" s="115" t="s">
        <v>126</v>
      </c>
      <c r="C29" s="116"/>
      <c r="D29" s="93">
        <f>SUMIFS('Gutachtenstatistik - Rohdaten'!N:N, 'Gutachtenstatistik - Rohdaten'!H:H, 4, 'Gutachtenstatistik - Rohdaten'!I:I, 1)</f>
        <v>0</v>
      </c>
      <c r="E29" s="94">
        <f>SUMIFS('Gutachtenstatistik - Rohdaten'!O:O, 'Gutachtenstatistik - Rohdaten'!H:H, 4, 'Gutachtenstatistik - Rohdaten'!I:I, 1)</f>
        <v>0</v>
      </c>
      <c r="F29" s="14"/>
      <c r="G29" s="83" t="str">
        <f>IF(E29&lt;=D29, "ok", "nicht korrekt; Anzahl der beantragten TE muss gleich oder größer sein als die Anzahl der befürworteten TE")</f>
        <v>ok</v>
      </c>
      <c r="H29" s="97" t="e">
        <f>E29/D29</f>
        <v>#DIV/0!</v>
      </c>
    </row>
    <row r="30" spans="1:9" ht="26.25" customHeight="1" thickBot="1" x14ac:dyDescent="0.3">
      <c r="A30" s="54">
        <v>16</v>
      </c>
      <c r="B30" s="117" t="s">
        <v>127</v>
      </c>
      <c r="C30" s="118"/>
      <c r="D30" s="95">
        <f>SUMIFS('Gutachtenstatistik - Rohdaten'!P:P, 'Gutachtenstatistik - Rohdaten'!H:H, 4, 'Gutachtenstatistik - Rohdaten'!I:I, 1)</f>
        <v>0</v>
      </c>
      <c r="E30" s="96">
        <f>SUMIFS('Gutachtenstatistik - Rohdaten'!Q:Q, 'Gutachtenstatistik - Rohdaten'!H:H, 4, 'Gutachtenstatistik - Rohdaten'!I:I, 1)</f>
        <v>0</v>
      </c>
      <c r="F30" s="17"/>
      <c r="G30" s="83" t="str">
        <f>IF(E30&lt;=D30, "ok", "nicht korrekt; Anzahl der beantragten TE muss gleich oder größer sein als die Anzahl der befürworteten TE")</f>
        <v>ok</v>
      </c>
      <c r="H30" s="97" t="e">
        <f>E30/D30</f>
        <v>#DIV/0!</v>
      </c>
    </row>
    <row r="31" spans="1:9" ht="7.5" customHeight="1" x14ac:dyDescent="0.25">
      <c r="A31" s="54"/>
      <c r="B31" s="51"/>
      <c r="C31" s="51"/>
      <c r="D31" s="52"/>
      <c r="E31" s="17"/>
      <c r="F31" s="17"/>
      <c r="G31" s="13"/>
      <c r="H31" s="1"/>
    </row>
    <row r="32" spans="1:9" ht="45.75" customHeight="1" x14ac:dyDescent="0.25">
      <c r="B32" s="105" t="s">
        <v>128</v>
      </c>
      <c r="C32" s="106"/>
      <c r="D32" s="106"/>
      <c r="E32" s="106"/>
      <c r="F32" s="106"/>
      <c r="G32" s="107"/>
      <c r="H32" s="1"/>
      <c r="I32" s="23"/>
    </row>
    <row r="33" spans="2:8" customFormat="1" ht="28.35" customHeight="1" x14ac:dyDescent="0.25">
      <c r="B33" s="1"/>
      <c r="C33" s="1"/>
      <c r="D33" s="1"/>
      <c r="E33" s="1"/>
      <c r="F33" s="1"/>
      <c r="G33" s="1"/>
      <c r="H33" s="1"/>
    </row>
    <row r="34" spans="2:8" customFormat="1" ht="28.35" customHeight="1" x14ac:dyDescent="0.25">
      <c r="B34" s="1"/>
      <c r="C34" s="1"/>
      <c r="D34" s="1"/>
      <c r="E34" s="1"/>
      <c r="F34" s="1"/>
      <c r="G34" s="1"/>
      <c r="H34" s="1"/>
    </row>
    <row r="35" spans="2:8" customFormat="1" ht="27.75" customHeight="1" x14ac:dyDescent="0.25">
      <c r="B35" s="1"/>
      <c r="C35" s="1"/>
      <c r="D35" s="1"/>
      <c r="E35" s="1"/>
      <c r="F35" s="1"/>
      <c r="G35" s="1"/>
      <c r="H35" s="1"/>
    </row>
    <row r="36" spans="2:8" customFormat="1" ht="28.35" customHeight="1" x14ac:dyDescent="0.25">
      <c r="B36" s="1"/>
      <c r="C36" s="1"/>
      <c r="D36" s="1"/>
      <c r="E36" s="1"/>
      <c r="F36" s="1"/>
      <c r="G36" s="1"/>
      <c r="H36" s="1"/>
    </row>
    <row r="37" spans="2:8" customFormat="1" ht="17.100000000000001" customHeight="1" x14ac:dyDescent="0.25">
      <c r="B37" s="1"/>
      <c r="C37" s="1"/>
      <c r="D37" s="1"/>
      <c r="E37" s="1"/>
      <c r="F37" s="1"/>
      <c r="G37" s="1"/>
      <c r="H37" s="1"/>
    </row>
    <row r="38" spans="2:8" customFormat="1" ht="27" customHeight="1" x14ac:dyDescent="0.25">
      <c r="B38" s="1"/>
      <c r="C38" s="1"/>
      <c r="D38" s="1"/>
      <c r="E38" s="1"/>
      <c r="F38" s="1"/>
      <c r="G38" s="1"/>
      <c r="H38" s="1"/>
    </row>
    <row r="39" spans="2:8" customFormat="1" ht="27" customHeight="1" x14ac:dyDescent="0.25">
      <c r="B39" s="1"/>
      <c r="C39" s="1"/>
      <c r="D39" s="1"/>
      <c r="E39" s="1"/>
      <c r="F39" s="1"/>
      <c r="G39" s="1"/>
      <c r="H39" s="1"/>
    </row>
    <row r="40" spans="2:8" customFormat="1" ht="27" customHeight="1" x14ac:dyDescent="0.25">
      <c r="B40" s="1"/>
      <c r="C40" s="1"/>
      <c r="D40" s="1"/>
      <c r="E40" s="1"/>
      <c r="F40" s="1"/>
      <c r="G40" s="1"/>
      <c r="H40" s="1"/>
    </row>
    <row r="41" spans="2:8" customFormat="1" x14ac:dyDescent="0.25">
      <c r="B41" s="1"/>
      <c r="C41" s="1"/>
      <c r="D41" s="1"/>
      <c r="E41" s="1"/>
      <c r="F41" s="1"/>
      <c r="G41" s="1"/>
      <c r="H41" s="1"/>
    </row>
    <row r="42" spans="2:8" customFormat="1" x14ac:dyDescent="0.25">
      <c r="B42" s="1"/>
      <c r="C42" s="1"/>
      <c r="D42" s="1"/>
      <c r="E42" s="1"/>
      <c r="F42" s="1"/>
      <c r="G42" s="1"/>
      <c r="H42" s="1"/>
    </row>
    <row r="43" spans="2:8" customFormat="1" x14ac:dyDescent="0.25">
      <c r="B43" s="1"/>
      <c r="C43" s="1"/>
      <c r="D43" s="1"/>
      <c r="E43" s="1"/>
      <c r="F43" s="1"/>
      <c r="G43" s="1"/>
      <c r="H43" s="1"/>
    </row>
    <row r="44" spans="2:8" customFormat="1" x14ac:dyDescent="0.25">
      <c r="B44" s="1"/>
      <c r="C44" s="1"/>
      <c r="D44" s="1"/>
      <c r="E44" s="1"/>
      <c r="F44" s="1"/>
      <c r="G44" s="1"/>
      <c r="H44" s="1"/>
    </row>
    <row r="45" spans="2:8" customFormat="1" x14ac:dyDescent="0.25">
      <c r="B45" s="1"/>
      <c r="C45" s="1"/>
      <c r="D45" s="1"/>
      <c r="E45" s="1"/>
      <c r="F45" s="1"/>
      <c r="G45" s="1"/>
      <c r="H45" s="1"/>
    </row>
    <row r="46" spans="2:8" customFormat="1" x14ac:dyDescent="0.25">
      <c r="B46" s="1"/>
      <c r="C46" s="1"/>
      <c r="D46" s="1"/>
      <c r="E46" s="1"/>
      <c r="F46" s="1"/>
      <c r="G46" s="1"/>
      <c r="H46" s="1"/>
    </row>
  </sheetData>
  <mergeCells count="12">
    <mergeCell ref="B32:G32"/>
    <mergeCell ref="B1:G1"/>
    <mergeCell ref="C2:G2"/>
    <mergeCell ref="C3:G3"/>
    <mergeCell ref="C4:G4"/>
    <mergeCell ref="C5:G5"/>
    <mergeCell ref="C6:G6"/>
    <mergeCell ref="C7:G7"/>
    <mergeCell ref="C8:G8"/>
    <mergeCell ref="B28:C28"/>
    <mergeCell ref="B29:C29"/>
    <mergeCell ref="B30:C30"/>
  </mergeCells>
  <pageMargins left="0.25" right="0.25" top="0.75" bottom="0.75" header="0.3" footer="0.3"/>
  <pageSetup paperSize="9" orientation="portrait" r:id="rId1"/>
  <headerFooter>
    <oddHeader>&amp;C&amp;"-,Fett"&amp;14GUTACHTENSTATISTIK</oddHeader>
    <oddFooter>&amp;L&amp;9Seite &amp;P von &amp;N /  KBV  /  Gutachterstatistik Auswertungsmatrix  / Juli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E4DD8-7941-45E0-BE9B-FCB2156BCDBC}">
  <dimension ref="A1:I46"/>
  <sheetViews>
    <sheetView view="pageLayout" zoomScaleNormal="140" workbookViewId="0">
      <selection activeCell="C2" sqref="C2:G2"/>
    </sheetView>
  </sheetViews>
  <sheetFormatPr baseColWidth="10" defaultColWidth="9.140625" defaultRowHeight="15" x14ac:dyDescent="0.25"/>
  <cols>
    <col min="1" max="1" width="4.28515625" style="53" customWidth="1"/>
    <col min="2" max="2" width="25" customWidth="1"/>
    <col min="3" max="3" width="14.28515625" customWidth="1"/>
    <col min="4" max="4" width="14.140625" customWidth="1"/>
    <col min="5" max="5" width="14.5703125" customWidth="1"/>
    <col min="6" max="6" width="1.28515625" customWidth="1"/>
    <col min="7" max="7" width="13.140625" customWidth="1"/>
    <col min="9" max="9" width="7.28515625" customWidth="1"/>
    <col min="10" max="10" width="23.28515625" customWidth="1"/>
    <col min="11" max="11" width="13.42578125" customWidth="1"/>
    <col min="12" max="12" width="13.28515625" customWidth="1"/>
    <col min="13" max="13" width="12.7109375" customWidth="1"/>
    <col min="14" max="14" width="3" customWidth="1"/>
    <col min="15" max="15" width="12.140625" customWidth="1"/>
  </cols>
  <sheetData>
    <row r="1" spans="1:8" ht="22.5" customHeight="1" x14ac:dyDescent="0.25">
      <c r="B1" s="102" t="s">
        <v>130</v>
      </c>
      <c r="C1" s="102"/>
      <c r="D1" s="102"/>
      <c r="E1" s="102"/>
      <c r="F1" s="102"/>
      <c r="G1" s="102"/>
      <c r="H1" s="1"/>
    </row>
    <row r="2" spans="1:8" ht="17.100000000000001" customHeight="1" x14ac:dyDescent="0.25">
      <c r="A2" s="54"/>
      <c r="B2" s="24" t="s">
        <v>13</v>
      </c>
      <c r="C2" s="99"/>
      <c r="D2" s="99"/>
      <c r="E2" s="99"/>
      <c r="F2" s="99"/>
      <c r="G2" s="99"/>
      <c r="H2" s="1"/>
    </row>
    <row r="3" spans="1:8" ht="17.100000000000001" customHeight="1" x14ac:dyDescent="0.25">
      <c r="A3" s="54"/>
      <c r="B3" s="24" t="s">
        <v>12</v>
      </c>
      <c r="C3" s="100"/>
      <c r="D3" s="100"/>
      <c r="E3" s="100"/>
      <c r="F3" s="100"/>
      <c r="G3" s="100"/>
      <c r="H3" s="1"/>
    </row>
    <row r="4" spans="1:8" ht="17.100000000000001" customHeight="1" x14ac:dyDescent="0.25">
      <c r="A4" s="54"/>
      <c r="B4" s="24" t="s">
        <v>14</v>
      </c>
      <c r="C4" s="101"/>
      <c r="D4" s="101"/>
      <c r="E4" s="101"/>
      <c r="F4" s="101"/>
      <c r="G4" s="101"/>
      <c r="H4" s="1"/>
    </row>
    <row r="5" spans="1:8" ht="17.100000000000001" customHeight="1" x14ac:dyDescent="0.25">
      <c r="A5" s="54"/>
      <c r="B5" s="24" t="s">
        <v>20</v>
      </c>
      <c r="C5" s="100"/>
      <c r="D5" s="100"/>
      <c r="E5" s="100"/>
      <c r="F5" s="100"/>
      <c r="G5" s="100"/>
      <c r="H5" s="1"/>
    </row>
    <row r="6" spans="1:8" ht="17.100000000000001" customHeight="1" x14ac:dyDescent="0.25">
      <c r="A6" s="54"/>
      <c r="B6" s="24" t="s">
        <v>85</v>
      </c>
      <c r="C6" s="101"/>
      <c r="D6" s="101"/>
      <c r="E6" s="101"/>
      <c r="F6" s="101"/>
      <c r="G6" s="101"/>
      <c r="H6" s="1"/>
    </row>
    <row r="7" spans="1:8" ht="17.100000000000001" customHeight="1" x14ac:dyDescent="0.25">
      <c r="A7" s="54"/>
      <c r="B7" s="43" t="s">
        <v>15</v>
      </c>
      <c r="C7" s="110"/>
      <c r="D7" s="110"/>
      <c r="E7" s="110"/>
      <c r="F7" s="110"/>
      <c r="G7" s="110"/>
      <c r="H7" s="2"/>
    </row>
    <row r="8" spans="1:8" ht="17.100000000000001" customHeight="1" thickBot="1" x14ac:dyDescent="0.3">
      <c r="A8" s="54"/>
      <c r="B8" s="24" t="s">
        <v>21</v>
      </c>
      <c r="C8" s="100" t="s">
        <v>131</v>
      </c>
      <c r="D8" s="100"/>
      <c r="E8" s="100"/>
      <c r="F8" s="100"/>
      <c r="G8" s="100"/>
    </row>
    <row r="9" spans="1:8" ht="27.75" customHeight="1" thickBot="1" x14ac:dyDescent="0.3">
      <c r="A9" s="54"/>
      <c r="B9" s="3"/>
      <c r="C9" s="4" t="s">
        <v>16</v>
      </c>
      <c r="D9" s="4" t="s">
        <v>17</v>
      </c>
      <c r="E9" s="18" t="s">
        <v>18</v>
      </c>
      <c r="F9" s="36"/>
      <c r="G9" s="32" t="s">
        <v>19</v>
      </c>
      <c r="H9" s="1"/>
    </row>
    <row r="10" spans="1:8" ht="22.5" customHeight="1" thickTop="1" thickBot="1" x14ac:dyDescent="0.3">
      <c r="A10" s="54">
        <v>1</v>
      </c>
      <c r="B10" s="16" t="s">
        <v>22</v>
      </c>
      <c r="C10" s="5">
        <f>COUNTIFS('Gutachtenstatistik - Rohdaten'!H:H, 4, 'Gutachtenstatistik - Rohdaten'!I:I, 2, 'Gutachtenstatistik - Rohdaten'!L:L, 2, 'Gutachtenstatistik - Rohdaten'!M:M, 1)</f>
        <v>0</v>
      </c>
      <c r="D10" s="5">
        <f>COUNTIFS('Gutachtenstatistik - Rohdaten'!H:H, 4, 'Gutachtenstatistik - Rohdaten'!I:I, 2, 'Gutachtenstatistik - Rohdaten'!L:L, 2, 'Gutachtenstatistik - Rohdaten'!M:M, 2)</f>
        <v>0</v>
      </c>
      <c r="E10" s="31">
        <f>COUNTIFS('Gutachtenstatistik - Rohdaten'!H:H, 4, 'Gutachtenstatistik - Rohdaten'!I:I, 2, 'Gutachtenstatistik - Rohdaten'!L:L, 2, 'Gutachtenstatistik - Rohdaten'!M:M, 3)</f>
        <v>0</v>
      </c>
      <c r="F10" s="35"/>
      <c r="G10" s="33">
        <f>COUNTIFS('Gutachtenstatistik - Rohdaten'!H:H, 4, 'Gutachtenstatistik - Rohdaten'!I:I, 2, 'Gutachtenstatistik - Rohdaten'!L:L, 2)</f>
        <v>0</v>
      </c>
      <c r="H10" s="15" t="str">
        <f>IF(G10=(C10+D10+E10), "Quersumme ok", "nicht korrekt")</f>
        <v>Quersumme ok</v>
      </c>
    </row>
    <row r="11" spans="1:8" ht="6.75" customHeight="1" thickBot="1" x14ac:dyDescent="0.3">
      <c r="A11" s="54"/>
      <c r="B11" s="39"/>
      <c r="C11" s="38"/>
      <c r="D11" s="38"/>
      <c r="E11" s="38"/>
      <c r="F11" s="40"/>
      <c r="G11" s="38"/>
      <c r="H11" s="15"/>
    </row>
    <row r="12" spans="1:8" ht="25.5" customHeight="1" thickBot="1" x14ac:dyDescent="0.3">
      <c r="A12" s="54"/>
      <c r="B12" s="29" t="s">
        <v>10</v>
      </c>
      <c r="C12" s="30"/>
      <c r="D12" s="30"/>
      <c r="E12" s="30"/>
      <c r="F12" s="37"/>
      <c r="G12" s="46"/>
      <c r="H12" s="15"/>
    </row>
    <row r="13" spans="1:8" ht="25.5" customHeight="1" x14ac:dyDescent="0.25">
      <c r="A13" s="54">
        <v>2</v>
      </c>
      <c r="B13" s="6" t="s">
        <v>0</v>
      </c>
      <c r="C13" s="7">
        <f>COUNTIFS('Gutachtenstatistik - Rohdaten'!H:H, 4, 'Gutachtenstatistik - Rohdaten'!I:I, 2, 'Gutachtenstatistik - Rohdaten'!K:K, 1, 'Gutachtenstatistik - Rohdaten'!L:L, 2, 'Gutachtenstatistik - Rohdaten'!M:M, 1)</f>
        <v>0</v>
      </c>
      <c r="D13" s="7">
        <f>COUNTIFS('Gutachtenstatistik - Rohdaten'!H:H, 4, 'Gutachtenstatistik - Rohdaten'!I:I, 2, 'Gutachtenstatistik - Rohdaten'!K:K, 1, 'Gutachtenstatistik - Rohdaten'!L:L, 2, 'Gutachtenstatistik - Rohdaten'!M:M, 2)</f>
        <v>0</v>
      </c>
      <c r="E13" s="19">
        <f>COUNTIFS('Gutachtenstatistik - Rohdaten'!H:H, 4, 'Gutachtenstatistik - Rohdaten'!I:I, 2, 'Gutachtenstatistik - Rohdaten'!K:K, 1, 'Gutachtenstatistik - Rohdaten'!L:L, 2, 'Gutachtenstatistik - Rohdaten'!M:M, 3)</f>
        <v>0</v>
      </c>
      <c r="F13" s="34"/>
      <c r="G13" s="47">
        <f>COUNTIFS('Gutachtenstatistik - Rohdaten'!H:H, 4, 'Gutachtenstatistik - Rohdaten'!I:I, 2, 'Gutachtenstatistik - Rohdaten'!K:K, 1, 'Gutachtenstatistik - Rohdaten'!L:L, 2)</f>
        <v>0</v>
      </c>
      <c r="H13" s="15" t="str">
        <f t="shared" ref="H13:H18" si="0">IF(G13=(C13+D13+E13), "Quersumme ok", "nicht korrekt")</f>
        <v>Quersumme ok</v>
      </c>
    </row>
    <row r="14" spans="1:8" ht="25.5" customHeight="1" x14ac:dyDescent="0.25">
      <c r="A14" s="54">
        <v>3</v>
      </c>
      <c r="B14" s="9" t="s">
        <v>9</v>
      </c>
      <c r="C14" s="10">
        <f>COUNTIFS('Gutachtenstatistik - Rohdaten'!H:H, 4, 'Gutachtenstatistik - Rohdaten'!I:I, 2, 'Gutachtenstatistik - Rohdaten'!K:K, 2, 'Gutachtenstatistik - Rohdaten'!L:L, 2, 'Gutachtenstatistik - Rohdaten'!M:M, 1)</f>
        <v>0</v>
      </c>
      <c r="D14" s="10">
        <f>COUNTIFS('Gutachtenstatistik - Rohdaten'!H:H, 4, 'Gutachtenstatistik - Rohdaten'!I:I, 2, 'Gutachtenstatistik - Rohdaten'!K:K, 2, 'Gutachtenstatistik - Rohdaten'!L:L, 2, 'Gutachtenstatistik - Rohdaten'!M:M, 2)</f>
        <v>0</v>
      </c>
      <c r="E14" s="20">
        <f>COUNTIFS('Gutachtenstatistik - Rohdaten'!H:H, 4, 'Gutachtenstatistik - Rohdaten'!I:I, 2, 'Gutachtenstatistik - Rohdaten'!K:K, 2, 'Gutachtenstatistik - Rohdaten'!L:L, 2, 'Gutachtenstatistik - Rohdaten'!M:M, 3)</f>
        <v>0</v>
      </c>
      <c r="F14" s="34"/>
      <c r="G14" s="48">
        <f>COUNTIFS('Gutachtenstatistik - Rohdaten'!H:H, 4, 'Gutachtenstatistik - Rohdaten'!I:I, 2, 'Gutachtenstatistik - Rohdaten'!K:K, 2, 'Gutachtenstatistik - Rohdaten'!L:L, 2)</f>
        <v>0</v>
      </c>
      <c r="H14" s="15" t="str">
        <f t="shared" si="0"/>
        <v>Quersumme ok</v>
      </c>
    </row>
    <row r="15" spans="1:8" ht="25.5" customHeight="1" x14ac:dyDescent="0.25">
      <c r="A15" s="54">
        <v>4</v>
      </c>
      <c r="B15" s="9" t="s">
        <v>1</v>
      </c>
      <c r="C15" s="10">
        <f>COUNTIFS('Gutachtenstatistik - Rohdaten'!H:H, 4, 'Gutachtenstatistik - Rohdaten'!I:I, 2, 'Gutachtenstatistik - Rohdaten'!K:K, 3, 'Gutachtenstatistik - Rohdaten'!L:L, 2, 'Gutachtenstatistik - Rohdaten'!M:M, 1)</f>
        <v>0</v>
      </c>
      <c r="D15" s="10">
        <f>COUNTIFS('Gutachtenstatistik - Rohdaten'!H:H, 4, 'Gutachtenstatistik - Rohdaten'!I:I, 2, 'Gutachtenstatistik - Rohdaten'!K:K, 3, 'Gutachtenstatistik - Rohdaten'!L:L, 2, 'Gutachtenstatistik - Rohdaten'!M:M, 2)</f>
        <v>0</v>
      </c>
      <c r="E15" s="20">
        <f>COUNTIFS('Gutachtenstatistik - Rohdaten'!H:H, 4, 'Gutachtenstatistik - Rohdaten'!I:I, 2, 'Gutachtenstatistik - Rohdaten'!K:K, 3, 'Gutachtenstatistik - Rohdaten'!L:L, 2, 'Gutachtenstatistik - Rohdaten'!M:M, 3)</f>
        <v>0</v>
      </c>
      <c r="F15" s="34"/>
      <c r="G15" s="48">
        <f>COUNTIFS('Gutachtenstatistik - Rohdaten'!H:H, 4, 'Gutachtenstatistik - Rohdaten'!I:I, 2, 'Gutachtenstatistik - Rohdaten'!K:K, 3, 'Gutachtenstatistik - Rohdaten'!L:L, 2)</f>
        <v>0</v>
      </c>
      <c r="H15" s="15" t="str">
        <f t="shared" si="0"/>
        <v>Quersumme ok</v>
      </c>
    </row>
    <row r="16" spans="1:8" ht="25.5" customHeight="1" x14ac:dyDescent="0.25">
      <c r="A16" s="54">
        <v>5</v>
      </c>
      <c r="B16" s="9" t="s">
        <v>2</v>
      </c>
      <c r="C16" s="10">
        <f>COUNTIFS('Gutachtenstatistik - Rohdaten'!H:H, 4, 'Gutachtenstatistik - Rohdaten'!I:I, 2, 'Gutachtenstatistik - Rohdaten'!K:K, 4, 'Gutachtenstatistik - Rohdaten'!L:L, 2, 'Gutachtenstatistik - Rohdaten'!M:M, 1)</f>
        <v>0</v>
      </c>
      <c r="D16" s="10">
        <f>COUNTIFS('Gutachtenstatistik - Rohdaten'!H:H, 4, 'Gutachtenstatistik - Rohdaten'!I:I, 2, 'Gutachtenstatistik - Rohdaten'!K:K, 4, 'Gutachtenstatistik - Rohdaten'!L:L, 2, 'Gutachtenstatistik - Rohdaten'!M:M, 2)</f>
        <v>0</v>
      </c>
      <c r="E16" s="20">
        <f>COUNTIFS('Gutachtenstatistik - Rohdaten'!H:H, 4, 'Gutachtenstatistik - Rohdaten'!I:I, 2, 'Gutachtenstatistik - Rohdaten'!K:K, 4, 'Gutachtenstatistik - Rohdaten'!L:L, 2, 'Gutachtenstatistik - Rohdaten'!M:M, 3)</f>
        <v>0</v>
      </c>
      <c r="F16" s="34"/>
      <c r="G16" s="48">
        <f>COUNTIFS('Gutachtenstatistik - Rohdaten'!H:H, 4, 'Gutachtenstatistik - Rohdaten'!I:I, 2, 'Gutachtenstatistik - Rohdaten'!K:K, 4, 'Gutachtenstatistik - Rohdaten'!L:L, 2)</f>
        <v>0</v>
      </c>
      <c r="H16" s="15" t="str">
        <f t="shared" si="0"/>
        <v>Quersumme ok</v>
      </c>
    </row>
    <row r="17" spans="1:9" ht="25.5" customHeight="1" x14ac:dyDescent="0.25">
      <c r="A17" s="54">
        <v>6</v>
      </c>
      <c r="B17" s="9" t="s">
        <v>3</v>
      </c>
      <c r="C17" s="10">
        <f>COUNTIFS('Gutachtenstatistik - Rohdaten'!H:H, 4, 'Gutachtenstatistik - Rohdaten'!I:I, 2, 'Gutachtenstatistik - Rohdaten'!K:K, 5, 'Gutachtenstatistik - Rohdaten'!L:L, 2, 'Gutachtenstatistik - Rohdaten'!M:M, 1)</f>
        <v>0</v>
      </c>
      <c r="D17" s="10">
        <f>COUNTIFS('Gutachtenstatistik - Rohdaten'!H:H, 4, 'Gutachtenstatistik - Rohdaten'!I:I, 2, 'Gutachtenstatistik - Rohdaten'!K:K, 5, 'Gutachtenstatistik - Rohdaten'!L:L, 2, 'Gutachtenstatistik - Rohdaten'!M:M, 2)</f>
        <v>0</v>
      </c>
      <c r="E17" s="20">
        <f>COUNTIFS('Gutachtenstatistik - Rohdaten'!H:H, 4, 'Gutachtenstatistik - Rohdaten'!I:I, 2, 'Gutachtenstatistik - Rohdaten'!K:K, 5, 'Gutachtenstatistik - Rohdaten'!L:L, 2, 'Gutachtenstatistik - Rohdaten'!M:M, 3)</f>
        <v>0</v>
      </c>
      <c r="F17" s="34"/>
      <c r="G17" s="48">
        <f>COUNTIFS('Gutachtenstatistik - Rohdaten'!H:H, 4, 'Gutachtenstatistik - Rohdaten'!I:I, 2, 'Gutachtenstatistik - Rohdaten'!K:K, 5, 'Gutachtenstatistik - Rohdaten'!L:L, 2)</f>
        <v>0</v>
      </c>
      <c r="H17" s="15" t="str">
        <f t="shared" si="0"/>
        <v>Quersumme ok</v>
      </c>
    </row>
    <row r="18" spans="1:9" ht="25.5" customHeight="1" thickBot="1" x14ac:dyDescent="0.3">
      <c r="A18" s="54">
        <v>7</v>
      </c>
      <c r="B18" s="11" t="s">
        <v>29</v>
      </c>
      <c r="C18" s="12">
        <f>COUNTIFS('Gutachtenstatistik - Rohdaten'!H:H, 4, 'Gutachtenstatistik - Rohdaten'!I:I, 2, 'Gutachtenstatistik - Rohdaten'!K:K, 6, 'Gutachtenstatistik - Rohdaten'!L:L, 2, 'Gutachtenstatistik - Rohdaten'!M:M, 1)</f>
        <v>0</v>
      </c>
      <c r="D18" s="12">
        <f>COUNTIFS('Gutachtenstatistik - Rohdaten'!H:H, 4, 'Gutachtenstatistik - Rohdaten'!I:I, 2, 'Gutachtenstatistik - Rohdaten'!K:K, 6, 'Gutachtenstatistik - Rohdaten'!L:L, 2, 'Gutachtenstatistik - Rohdaten'!M:M, 2)</f>
        <v>0</v>
      </c>
      <c r="E18" s="21">
        <f>COUNTIFS('Gutachtenstatistik - Rohdaten'!H:H, 4, 'Gutachtenstatistik - Rohdaten'!I:I, 2, 'Gutachtenstatistik - Rohdaten'!K:K, 6, 'Gutachtenstatistik - Rohdaten'!L:L, 2, 'Gutachtenstatistik - Rohdaten'!M:M, 3)</f>
        <v>0</v>
      </c>
      <c r="F18" s="34"/>
      <c r="G18" s="49">
        <f>COUNTIFS('Gutachtenstatistik - Rohdaten'!H:H, 4, 'Gutachtenstatistik - Rohdaten'!I:I, 2, 'Gutachtenstatistik - Rohdaten'!K:K, 6, 'Gutachtenstatistik - Rohdaten'!L:L, 2)</f>
        <v>0</v>
      </c>
      <c r="H18" s="15" t="str">
        <f t="shared" si="0"/>
        <v>Quersumme ok</v>
      </c>
    </row>
    <row r="19" spans="1:9" ht="22.5" customHeight="1" thickBot="1" x14ac:dyDescent="0.3">
      <c r="A19" s="54">
        <v>8</v>
      </c>
      <c r="B19" s="41" t="s">
        <v>8</v>
      </c>
      <c r="C19" s="25" t="str">
        <f>IF(C10=(C13+C14+C15+C16+C17+C18), "ok", "nicht korrekt")</f>
        <v>ok</v>
      </c>
      <c r="D19" s="25" t="str">
        <f>IF(D10=(D13+D14+D15+D16+D17+D18), "ok", "nicht korrekt")</f>
        <v>ok</v>
      </c>
      <c r="E19" s="25" t="str">
        <f>IF(E10=(E13+E14+E15+E16+E17+E18), "ok", "nicht korrekt")</f>
        <v>ok</v>
      </c>
      <c r="F19" s="25"/>
      <c r="G19" s="25" t="str">
        <f>IF(G10=(G13+G14+G15+G16+G17+G18), "ok", "nicht korrekt")</f>
        <v>ok</v>
      </c>
      <c r="H19" s="15"/>
    </row>
    <row r="20" spans="1:9" ht="25.5" customHeight="1" thickBot="1" x14ac:dyDescent="0.3">
      <c r="A20" s="54"/>
      <c r="B20" s="29" t="s">
        <v>11</v>
      </c>
      <c r="C20" s="30"/>
      <c r="D20" s="30"/>
      <c r="E20" s="30"/>
      <c r="F20" s="37"/>
      <c r="G20" s="46"/>
      <c r="H20" s="15"/>
    </row>
    <row r="21" spans="1:9" ht="25.5" customHeight="1" x14ac:dyDescent="0.25">
      <c r="A21" s="54">
        <v>9</v>
      </c>
      <c r="B21" s="6" t="s">
        <v>4</v>
      </c>
      <c r="C21" s="7">
        <f>COUNTIFS('Gutachtenstatistik - Rohdaten'!H:H, 4, 'Gutachtenstatistik - Rohdaten'!I:I, 2, 'Gutachtenstatistik - Rohdaten'!J:J, 1, 'Gutachtenstatistik - Rohdaten'!L:L, 2, 'Gutachtenstatistik - Rohdaten'!M:M, 1)</f>
        <v>0</v>
      </c>
      <c r="D21" s="7">
        <f>COUNTIFS('Gutachtenstatistik - Rohdaten'!H:H, 4, 'Gutachtenstatistik - Rohdaten'!I:I, 2, 'Gutachtenstatistik - Rohdaten'!J:J, 1, 'Gutachtenstatistik - Rohdaten'!L:L, 2, 'Gutachtenstatistik - Rohdaten'!M:M, 2)</f>
        <v>0</v>
      </c>
      <c r="E21" s="19">
        <f>COUNTIFS('Gutachtenstatistik - Rohdaten'!H:H, 4, 'Gutachtenstatistik - Rohdaten'!I:I, 2, 'Gutachtenstatistik - Rohdaten'!J:J, 1, 'Gutachtenstatistik - Rohdaten'!L:L, 2, 'Gutachtenstatistik - Rohdaten'!M:M, 3)</f>
        <v>0</v>
      </c>
      <c r="F21" s="34"/>
      <c r="G21" s="47">
        <f>COUNTIFS('Gutachtenstatistik - Rohdaten'!H:H, 4, 'Gutachtenstatistik - Rohdaten'!I:I, 2, 'Gutachtenstatistik - Rohdaten'!J:J, 1, 'Gutachtenstatistik - Rohdaten'!L:L, 2)</f>
        <v>0</v>
      </c>
      <c r="H21" s="15" t="str">
        <f>IF(G21=(C21+D21+E21), "Quersumme ok", "nicht korrekt")</f>
        <v>Quersumme ok</v>
      </c>
    </row>
    <row r="22" spans="1:9" ht="25.5" customHeight="1" x14ac:dyDescent="0.25">
      <c r="A22" s="54">
        <v>10</v>
      </c>
      <c r="B22" s="9" t="s">
        <v>5</v>
      </c>
      <c r="C22" s="10">
        <f>COUNTIFS('Gutachtenstatistik - Rohdaten'!H:H, 4, 'Gutachtenstatistik - Rohdaten'!I:I, 2, 'Gutachtenstatistik - Rohdaten'!J:J, 2, 'Gutachtenstatistik - Rohdaten'!L:L, 2, 'Gutachtenstatistik - Rohdaten'!M:M, 1)</f>
        <v>0</v>
      </c>
      <c r="D22" s="10">
        <f>COUNTIFS('Gutachtenstatistik - Rohdaten'!H:H, 4, 'Gutachtenstatistik - Rohdaten'!I:I, 2, 'Gutachtenstatistik - Rohdaten'!J:J, 2, 'Gutachtenstatistik - Rohdaten'!L:L, 2, 'Gutachtenstatistik - Rohdaten'!M:M, 2)</f>
        <v>0</v>
      </c>
      <c r="E22" s="20">
        <f>COUNTIFS('Gutachtenstatistik - Rohdaten'!H:H, 4, 'Gutachtenstatistik - Rohdaten'!I:I, 2, 'Gutachtenstatistik - Rohdaten'!J:J, 2, 'Gutachtenstatistik - Rohdaten'!L:L, 2, 'Gutachtenstatistik - Rohdaten'!M:M, 3)</f>
        <v>0</v>
      </c>
      <c r="F22" s="34"/>
      <c r="G22" s="48">
        <f>COUNTIFS('Gutachtenstatistik - Rohdaten'!H:H, 4, 'Gutachtenstatistik - Rohdaten'!I:I, 2, 'Gutachtenstatistik - Rohdaten'!J:J, 2, 'Gutachtenstatistik - Rohdaten'!L:L, 2)</f>
        <v>0</v>
      </c>
      <c r="H22" s="15" t="str">
        <f>IF(G22=(C22+D22+E22), "Quersumme ok", "nicht korrekt")</f>
        <v>Quersumme ok</v>
      </c>
    </row>
    <row r="23" spans="1:9" ht="25.5" customHeight="1" x14ac:dyDescent="0.25">
      <c r="A23" s="54">
        <v>11</v>
      </c>
      <c r="B23" s="9" t="s">
        <v>6</v>
      </c>
      <c r="C23" s="10">
        <f>COUNTIFS('Gutachtenstatistik - Rohdaten'!H:H, 4, 'Gutachtenstatistik - Rohdaten'!I:I, 2, 'Gutachtenstatistik - Rohdaten'!J:J, 3, 'Gutachtenstatistik - Rohdaten'!L:L, 2, 'Gutachtenstatistik - Rohdaten'!M:M, 1)</f>
        <v>0</v>
      </c>
      <c r="D23" s="10">
        <f>COUNTIFS('Gutachtenstatistik - Rohdaten'!H:H, 4, 'Gutachtenstatistik - Rohdaten'!I:I, 2, 'Gutachtenstatistik - Rohdaten'!J:J, 3, 'Gutachtenstatistik - Rohdaten'!L:L, 2, 'Gutachtenstatistik - Rohdaten'!M:M, 2)</f>
        <v>0</v>
      </c>
      <c r="E23" s="20">
        <f>COUNTIFS('Gutachtenstatistik - Rohdaten'!H:H, 4, 'Gutachtenstatistik - Rohdaten'!I:I, 2, 'Gutachtenstatistik - Rohdaten'!J:J, 3, 'Gutachtenstatistik - Rohdaten'!L:L, 2, 'Gutachtenstatistik - Rohdaten'!M:M, 3)</f>
        <v>0</v>
      </c>
      <c r="F23" s="34"/>
      <c r="G23" s="48">
        <f>COUNTIFS('Gutachtenstatistik - Rohdaten'!H:H, 4, 'Gutachtenstatistik - Rohdaten'!I:I, 2, 'Gutachtenstatistik - Rohdaten'!J:J, 3, 'Gutachtenstatistik - Rohdaten'!L:L, 2)</f>
        <v>0</v>
      </c>
      <c r="H23" s="15" t="str">
        <f>IF(G23=(C23+D23+E23), "Quersumme ok", "nicht korrekt")</f>
        <v>Quersumme ok</v>
      </c>
    </row>
    <row r="24" spans="1:9" ht="25.5" customHeight="1" thickBot="1" x14ac:dyDescent="0.3">
      <c r="A24" s="54">
        <v>12</v>
      </c>
      <c r="B24" s="11" t="s">
        <v>7</v>
      </c>
      <c r="C24" s="12">
        <f>COUNTIFS('Gutachtenstatistik - Rohdaten'!H:H, 4, 'Gutachtenstatistik - Rohdaten'!I:I, 2, 'Gutachtenstatistik - Rohdaten'!J:J, 4, 'Gutachtenstatistik - Rohdaten'!L:L, 2, 'Gutachtenstatistik - Rohdaten'!M:M, 1)</f>
        <v>0</v>
      </c>
      <c r="D24" s="12">
        <f>COUNTIFS('Gutachtenstatistik - Rohdaten'!H:H, 4, 'Gutachtenstatistik - Rohdaten'!I:I, 2, 'Gutachtenstatistik - Rohdaten'!J:J, 4, 'Gutachtenstatistik - Rohdaten'!L:L, 2, 'Gutachtenstatistik - Rohdaten'!M:M, 2)</f>
        <v>0</v>
      </c>
      <c r="E24" s="21">
        <f>COUNTIFS('Gutachtenstatistik - Rohdaten'!H:H, 4, 'Gutachtenstatistik - Rohdaten'!I:I, 2, 'Gutachtenstatistik - Rohdaten'!J:J, 4, 'Gutachtenstatistik - Rohdaten'!L:L, 2, 'Gutachtenstatistik - Rohdaten'!M:M, 3)</f>
        <v>0</v>
      </c>
      <c r="F24" s="34"/>
      <c r="G24" s="49">
        <f>COUNTIFS('Gutachtenstatistik - Rohdaten'!H:H, 4, 'Gutachtenstatistik - Rohdaten'!I:I, 2, 'Gutachtenstatistik - Rohdaten'!J:J, 4, 'Gutachtenstatistik - Rohdaten'!L:L, 2)</f>
        <v>0</v>
      </c>
      <c r="H24" s="15" t="str">
        <f>IF(G24=(C24+D24+E24), "Quersumme ok", "nicht korrekt")</f>
        <v>Quersumme ok</v>
      </c>
    </row>
    <row r="25" spans="1:9" ht="23.25" customHeight="1" thickBot="1" x14ac:dyDescent="0.3">
      <c r="A25" s="54">
        <v>13</v>
      </c>
      <c r="B25" s="41" t="s">
        <v>8</v>
      </c>
      <c r="C25" s="25" t="str">
        <f>IF(C10=(C21+C22+C23+C24), "ok", "nicht korrekt")</f>
        <v>ok</v>
      </c>
      <c r="D25" s="25" t="str">
        <f>IF(D10=(D21+D22+D23+D24), "ok", "nicht korrekt")</f>
        <v>ok</v>
      </c>
      <c r="E25" s="25" t="str">
        <f>IF(E10=(E21+E22+E23+E24), "ok", "nicht korrekt")</f>
        <v>ok</v>
      </c>
      <c r="F25" s="25"/>
      <c r="G25" s="25" t="str">
        <f>IF(G10=(G21+G22+G23+G24), "ok", "nicht korrekt")</f>
        <v>ok</v>
      </c>
      <c r="H25" s="15"/>
    </row>
    <row r="26" spans="1:9" ht="25.5" customHeight="1" thickTop="1" thickBot="1" x14ac:dyDescent="0.3">
      <c r="A26" s="54">
        <v>14</v>
      </c>
      <c r="B26" s="44" t="s">
        <v>92</v>
      </c>
      <c r="C26" s="26">
        <f>COUNTIFS('Gutachtenstatistik - Rohdaten'!H:H, 4, 'Gutachtenstatistik - Rohdaten'!I:I, 2, 'Gutachtenstatistik - Rohdaten'!L:L, 1, 'Gutachtenstatistik - Rohdaten'!M:M, 1)</f>
        <v>0</v>
      </c>
      <c r="D26" s="8">
        <f>COUNTIFS('Gutachtenstatistik - Rohdaten'!H:H, 4, 'Gutachtenstatistik - Rohdaten'!I:I, 2, 'Gutachtenstatistik - Rohdaten'!L:L, 1, 'Gutachtenstatistik - Rohdaten'!M:M, 2)</f>
        <v>0</v>
      </c>
      <c r="E26" s="22">
        <f>COUNTIFS('Gutachtenstatistik - Rohdaten'!H:H, 4, 'Gutachtenstatistik - Rohdaten'!I:I, 2, 'Gutachtenstatistik - Rohdaten'!L:L, 1, 'Gutachtenstatistik - Rohdaten'!M:M, 3)</f>
        <v>0</v>
      </c>
      <c r="F26" s="42"/>
      <c r="G26" s="50">
        <f>COUNTIFS('Gutachtenstatistik - Rohdaten'!H:H, 4, 'Gutachtenstatistik - Rohdaten'!I:I, 2, 'Gutachtenstatistik - Rohdaten'!L:L, 1)</f>
        <v>0</v>
      </c>
      <c r="H26" s="15" t="str">
        <f>IF(G26=(C26+D26+E26), "Quersumme ok", "nicht korrekt")</f>
        <v>Quersumme ok</v>
      </c>
    </row>
    <row r="27" spans="1:9" ht="15.75" customHeight="1" thickTop="1" thickBot="1" x14ac:dyDescent="0.3">
      <c r="A27" s="54"/>
      <c r="B27" s="45" t="s">
        <v>98</v>
      </c>
      <c r="C27" s="89"/>
      <c r="D27" s="90"/>
      <c r="E27" s="28"/>
      <c r="F27" s="17"/>
      <c r="G27" s="28"/>
      <c r="H27" s="15"/>
    </row>
    <row r="28" spans="1:9" ht="39" customHeight="1" thickBot="1" x14ac:dyDescent="0.3">
      <c r="A28" s="54"/>
      <c r="B28" s="113" t="s">
        <v>123</v>
      </c>
      <c r="C28" s="114"/>
      <c r="D28" s="91" t="s">
        <v>121</v>
      </c>
      <c r="E28" s="92" t="s">
        <v>122</v>
      </c>
      <c r="F28" s="27"/>
      <c r="G28" s="27"/>
      <c r="H28" s="98" t="s">
        <v>129</v>
      </c>
    </row>
    <row r="29" spans="1:9" ht="30" customHeight="1" x14ac:dyDescent="0.25">
      <c r="A29" s="54">
        <v>15</v>
      </c>
      <c r="B29" s="115" t="s">
        <v>126</v>
      </c>
      <c r="C29" s="116"/>
      <c r="D29" s="93">
        <f>SUMIFS('Gutachtenstatistik - Rohdaten'!N:N, 'Gutachtenstatistik - Rohdaten'!H:H, 4, 'Gutachtenstatistik - Rohdaten'!I:I, 2)</f>
        <v>0</v>
      </c>
      <c r="E29" s="94">
        <f>SUMIFS('Gutachtenstatistik - Rohdaten'!O:O, 'Gutachtenstatistik - Rohdaten'!H:H, 4, 'Gutachtenstatistik - Rohdaten'!I:I, 2)</f>
        <v>0</v>
      </c>
      <c r="F29" s="14"/>
      <c r="G29" s="83" t="str">
        <f>IF(E29&lt;=D29, "ok", "nicht korrekt; Anzahl der beantragten TE muss gleich oder größer sein als die Anzahl der befürworteten TE")</f>
        <v>ok</v>
      </c>
      <c r="H29" s="97" t="e">
        <f>E29/D29</f>
        <v>#DIV/0!</v>
      </c>
    </row>
    <row r="30" spans="1:9" ht="26.25" customHeight="1" thickBot="1" x14ac:dyDescent="0.3">
      <c r="A30" s="54">
        <v>16</v>
      </c>
      <c r="B30" s="117" t="s">
        <v>127</v>
      </c>
      <c r="C30" s="118"/>
      <c r="D30" s="95">
        <f>SUMIFS('Gutachtenstatistik - Rohdaten'!P:P, 'Gutachtenstatistik - Rohdaten'!H:H, 4, 'Gutachtenstatistik - Rohdaten'!I:I, 2)</f>
        <v>0</v>
      </c>
      <c r="E30" s="96">
        <f>SUMIFS('Gutachtenstatistik - Rohdaten'!Q:Q, 'Gutachtenstatistik - Rohdaten'!H:H, 4, 'Gutachtenstatistik - Rohdaten'!I:I, 2)</f>
        <v>0</v>
      </c>
      <c r="F30" s="17"/>
      <c r="G30" s="83" t="str">
        <f>IF(E30&lt;=D30, "ok", "nicht korrekt; Anzahl der beantragten TE muss gleich oder größer sein als die Anzahl der befürworteten TE")</f>
        <v>ok</v>
      </c>
      <c r="H30" s="97" t="e">
        <f>E30/D30</f>
        <v>#DIV/0!</v>
      </c>
    </row>
    <row r="31" spans="1:9" ht="7.5" customHeight="1" x14ac:dyDescent="0.25">
      <c r="A31" s="54"/>
      <c r="B31" s="51"/>
      <c r="C31" s="51"/>
      <c r="D31" s="52"/>
      <c r="E31" s="17"/>
      <c r="F31" s="17"/>
      <c r="G31" s="13"/>
      <c r="H31" s="1"/>
    </row>
    <row r="32" spans="1:9" ht="45.75" customHeight="1" x14ac:dyDescent="0.25">
      <c r="B32" s="105" t="s">
        <v>128</v>
      </c>
      <c r="C32" s="106"/>
      <c r="D32" s="106"/>
      <c r="E32" s="106"/>
      <c r="F32" s="106"/>
      <c r="G32" s="107"/>
      <c r="H32" s="1"/>
      <c r="I32" s="23"/>
    </row>
    <row r="33" spans="2:8" customFormat="1" ht="28.35" customHeight="1" x14ac:dyDescent="0.25">
      <c r="B33" s="1"/>
      <c r="C33" s="1"/>
      <c r="D33" s="1"/>
      <c r="E33" s="1"/>
      <c r="F33" s="1"/>
      <c r="G33" s="1"/>
      <c r="H33" s="1"/>
    </row>
    <row r="34" spans="2:8" customFormat="1" ht="28.35" customHeight="1" x14ac:dyDescent="0.25">
      <c r="B34" s="1"/>
      <c r="C34" s="1"/>
      <c r="D34" s="1"/>
      <c r="E34" s="1"/>
      <c r="F34" s="1"/>
      <c r="G34" s="1"/>
      <c r="H34" s="1"/>
    </row>
    <row r="35" spans="2:8" customFormat="1" ht="27.75" customHeight="1" x14ac:dyDescent="0.25">
      <c r="B35" s="1"/>
      <c r="C35" s="1"/>
      <c r="D35" s="1"/>
      <c r="E35" s="1"/>
      <c r="F35" s="1"/>
      <c r="G35" s="1"/>
      <c r="H35" s="1"/>
    </row>
    <row r="36" spans="2:8" customFormat="1" ht="28.35" customHeight="1" x14ac:dyDescent="0.25">
      <c r="B36" s="1"/>
      <c r="C36" s="1"/>
      <c r="D36" s="1"/>
      <c r="E36" s="1"/>
      <c r="F36" s="1"/>
      <c r="G36" s="1"/>
      <c r="H36" s="1"/>
    </row>
    <row r="37" spans="2:8" customFormat="1" ht="17.100000000000001" customHeight="1" x14ac:dyDescent="0.25">
      <c r="B37" s="1"/>
      <c r="C37" s="1"/>
      <c r="D37" s="1"/>
      <c r="E37" s="1"/>
      <c r="F37" s="1"/>
      <c r="G37" s="1"/>
      <c r="H37" s="1"/>
    </row>
    <row r="38" spans="2:8" customFormat="1" ht="27" customHeight="1" x14ac:dyDescent="0.25">
      <c r="B38" s="1"/>
      <c r="C38" s="1"/>
      <c r="D38" s="1"/>
      <c r="E38" s="1"/>
      <c r="F38" s="1"/>
      <c r="G38" s="1"/>
      <c r="H38" s="1"/>
    </row>
    <row r="39" spans="2:8" customFormat="1" ht="27" customHeight="1" x14ac:dyDescent="0.25">
      <c r="B39" s="1"/>
      <c r="C39" s="1"/>
      <c r="D39" s="1"/>
      <c r="E39" s="1"/>
      <c r="F39" s="1"/>
      <c r="G39" s="1"/>
      <c r="H39" s="1"/>
    </row>
    <row r="40" spans="2:8" customFormat="1" ht="27" customHeight="1" x14ac:dyDescent="0.25">
      <c r="B40" s="1"/>
      <c r="C40" s="1"/>
      <c r="D40" s="1"/>
      <c r="E40" s="1"/>
      <c r="F40" s="1"/>
      <c r="G40" s="1"/>
      <c r="H40" s="1"/>
    </row>
    <row r="41" spans="2:8" customFormat="1" x14ac:dyDescent="0.25">
      <c r="B41" s="1"/>
      <c r="C41" s="1"/>
      <c r="D41" s="1"/>
      <c r="E41" s="1"/>
      <c r="F41" s="1"/>
      <c r="G41" s="1"/>
      <c r="H41" s="1"/>
    </row>
    <row r="42" spans="2:8" customFormat="1" x14ac:dyDescent="0.25">
      <c r="B42" s="1"/>
      <c r="C42" s="1"/>
      <c r="D42" s="1"/>
      <c r="E42" s="1"/>
      <c r="F42" s="1"/>
      <c r="G42" s="1"/>
      <c r="H42" s="1"/>
    </row>
    <row r="43" spans="2:8" customFormat="1" x14ac:dyDescent="0.25">
      <c r="B43" s="1"/>
      <c r="C43" s="1"/>
      <c r="D43" s="1"/>
      <c r="E43" s="1"/>
      <c r="F43" s="1"/>
      <c r="G43" s="1"/>
      <c r="H43" s="1"/>
    </row>
    <row r="44" spans="2:8" customFormat="1" x14ac:dyDescent="0.25">
      <c r="B44" s="1"/>
      <c r="C44" s="1"/>
      <c r="D44" s="1"/>
      <c r="E44" s="1"/>
      <c r="F44" s="1"/>
      <c r="G44" s="1"/>
      <c r="H44" s="1"/>
    </row>
    <row r="45" spans="2:8" customFormat="1" x14ac:dyDescent="0.25">
      <c r="B45" s="1"/>
      <c r="C45" s="1"/>
      <c r="D45" s="1"/>
      <c r="E45" s="1"/>
      <c r="F45" s="1"/>
      <c r="G45" s="1"/>
      <c r="H45" s="1"/>
    </row>
    <row r="46" spans="2:8" customFormat="1" x14ac:dyDescent="0.25">
      <c r="B46" s="1"/>
      <c r="C46" s="1"/>
      <c r="D46" s="1"/>
      <c r="E46" s="1"/>
      <c r="F46" s="1"/>
      <c r="G46" s="1"/>
      <c r="H46" s="1"/>
    </row>
  </sheetData>
  <mergeCells count="12">
    <mergeCell ref="B32:G32"/>
    <mergeCell ref="B1:G1"/>
    <mergeCell ref="C2:G2"/>
    <mergeCell ref="C3:G3"/>
    <mergeCell ref="C4:G4"/>
    <mergeCell ref="C5:G5"/>
    <mergeCell ref="C6:G6"/>
    <mergeCell ref="C7:G7"/>
    <mergeCell ref="C8:G8"/>
    <mergeCell ref="B28:C28"/>
    <mergeCell ref="B29:C29"/>
    <mergeCell ref="B30:C30"/>
  </mergeCells>
  <pageMargins left="0.25" right="0.25" top="0.75" bottom="0.75" header="0.3" footer="0.3"/>
  <pageSetup paperSize="9" orientation="portrait" r:id="rId1"/>
  <headerFooter>
    <oddHeader>&amp;C&amp;"-,Fett"&amp;14GUTACHTENSTATISTIK</oddHeader>
    <oddFooter>&amp;L&amp;9Seite &amp;P von &amp;N /  KBV  /  Gutachterstatistik Auswertungsmatrix  / Juli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6"/>
  <sheetViews>
    <sheetView view="pageLayout" zoomScaleNormal="140" workbookViewId="0">
      <selection activeCell="C2" sqref="C2:G2"/>
    </sheetView>
  </sheetViews>
  <sheetFormatPr baseColWidth="10" defaultColWidth="9.140625" defaultRowHeight="15" x14ac:dyDescent="0.25"/>
  <cols>
    <col min="1" max="1" width="4.28515625" style="53" customWidth="1"/>
    <col min="2" max="2" width="25" customWidth="1"/>
    <col min="3" max="4" width="14.140625" customWidth="1"/>
    <col min="5" max="5" width="14.5703125" customWidth="1"/>
    <col min="6" max="6" width="2" customWidth="1"/>
    <col min="7" max="7" width="13.140625" customWidth="1"/>
    <col min="9" max="9" width="7.28515625" customWidth="1"/>
    <col min="10" max="10" width="23.28515625" customWidth="1"/>
    <col min="11" max="11" width="13.42578125" customWidth="1"/>
    <col min="12" max="12" width="13.28515625" customWidth="1"/>
    <col min="13" max="13" width="12.7109375" customWidth="1"/>
    <col min="14" max="14" width="3" customWidth="1"/>
    <col min="15" max="15" width="12.140625" customWidth="1"/>
  </cols>
  <sheetData>
    <row r="1" spans="1:8" ht="22.5" customHeight="1" x14ac:dyDescent="0.25">
      <c r="B1" s="102" t="s">
        <v>89</v>
      </c>
      <c r="C1" s="102"/>
      <c r="D1" s="102"/>
      <c r="E1" s="102"/>
      <c r="F1" s="102"/>
      <c r="G1" s="102"/>
      <c r="H1" s="1"/>
    </row>
    <row r="2" spans="1:8" ht="17.100000000000001" customHeight="1" x14ac:dyDescent="0.25">
      <c r="A2" s="54"/>
      <c r="B2" s="24" t="s">
        <v>13</v>
      </c>
      <c r="C2" s="99"/>
      <c r="D2" s="99"/>
      <c r="E2" s="99"/>
      <c r="F2" s="99"/>
      <c r="G2" s="99"/>
      <c r="H2" s="1"/>
    </row>
    <row r="3" spans="1:8" ht="17.100000000000001" customHeight="1" x14ac:dyDescent="0.25">
      <c r="A3" s="54"/>
      <c r="B3" s="24" t="s">
        <v>12</v>
      </c>
      <c r="C3" s="100"/>
      <c r="D3" s="100"/>
      <c r="E3" s="100"/>
      <c r="F3" s="100"/>
      <c r="G3" s="100"/>
      <c r="H3" s="1"/>
    </row>
    <row r="4" spans="1:8" ht="17.100000000000001" customHeight="1" x14ac:dyDescent="0.25">
      <c r="A4" s="54"/>
      <c r="B4" s="24" t="s">
        <v>14</v>
      </c>
      <c r="C4" s="101"/>
      <c r="D4" s="101"/>
      <c r="E4" s="101"/>
      <c r="F4" s="101"/>
      <c r="G4" s="101"/>
      <c r="H4" s="1"/>
    </row>
    <row r="5" spans="1:8" ht="17.100000000000001" customHeight="1" x14ac:dyDescent="0.25">
      <c r="A5" s="54"/>
      <c r="B5" s="24" t="s">
        <v>20</v>
      </c>
      <c r="C5" s="100"/>
      <c r="D5" s="100"/>
      <c r="E5" s="100"/>
      <c r="F5" s="100"/>
      <c r="G5" s="100"/>
      <c r="H5" s="1"/>
    </row>
    <row r="6" spans="1:8" ht="17.100000000000001" customHeight="1" x14ac:dyDescent="0.25">
      <c r="A6" s="54"/>
      <c r="B6" s="24" t="s">
        <v>85</v>
      </c>
      <c r="C6" s="101"/>
      <c r="D6" s="101"/>
      <c r="E6" s="101"/>
      <c r="F6" s="101"/>
      <c r="G6" s="101"/>
      <c r="H6" s="1"/>
    </row>
    <row r="7" spans="1:8" ht="17.100000000000001" customHeight="1" x14ac:dyDescent="0.25">
      <c r="A7" s="54"/>
      <c r="B7" s="43" t="s">
        <v>15</v>
      </c>
      <c r="C7" s="110"/>
      <c r="D7" s="110"/>
      <c r="E7" s="110"/>
      <c r="F7" s="110"/>
      <c r="G7" s="110"/>
      <c r="H7" s="2"/>
    </row>
    <row r="8" spans="1:8" ht="17.100000000000001" customHeight="1" thickBot="1" x14ac:dyDescent="0.3">
      <c r="A8" s="54"/>
      <c r="B8" s="24" t="s">
        <v>21</v>
      </c>
      <c r="C8" s="82" t="s">
        <v>25</v>
      </c>
      <c r="D8" s="82"/>
      <c r="E8" s="82"/>
      <c r="F8" s="82"/>
      <c r="G8" s="82"/>
    </row>
    <row r="9" spans="1:8" ht="27.75" customHeight="1" thickBot="1" x14ac:dyDescent="0.3">
      <c r="A9" s="54"/>
      <c r="B9" s="3"/>
      <c r="C9" s="4" t="s">
        <v>16</v>
      </c>
      <c r="D9" s="4" t="s">
        <v>17</v>
      </c>
      <c r="E9" s="18" t="s">
        <v>18</v>
      </c>
      <c r="F9" s="36"/>
      <c r="G9" s="32" t="s">
        <v>19</v>
      </c>
      <c r="H9" s="1"/>
    </row>
    <row r="10" spans="1:8" ht="22.5" customHeight="1" thickTop="1" thickBot="1" x14ac:dyDescent="0.3">
      <c r="A10" s="54">
        <v>1</v>
      </c>
      <c r="B10" s="16" t="s">
        <v>22</v>
      </c>
      <c r="C10" s="5">
        <f>COUNTIFS('Gutachtenstatistik - Rohdaten'!H:H, 2, 'Gutachtenstatistik - Rohdaten'!I:I, 1, 'Gutachtenstatistik - Rohdaten'!L:L, 2, 'Gutachtenstatistik - Rohdaten'!M:M, 1)</f>
        <v>0</v>
      </c>
      <c r="D10" s="5">
        <f>COUNTIFS('Gutachtenstatistik - Rohdaten'!H:H, 2, 'Gutachtenstatistik - Rohdaten'!I:I, 1,  'Gutachtenstatistik - Rohdaten'!L:L, 2, 'Gutachtenstatistik - Rohdaten'!M:M, 2)</f>
        <v>0</v>
      </c>
      <c r="E10" s="31">
        <f>COUNTIFS('Gutachtenstatistik - Rohdaten'!H:H, 2, 'Gutachtenstatistik - Rohdaten'!I:I, 1,  'Gutachtenstatistik - Rohdaten'!L:L, 2, 'Gutachtenstatistik - Rohdaten'!M:M, 3)</f>
        <v>0</v>
      </c>
      <c r="F10" s="35"/>
      <c r="G10" s="33">
        <f>COUNTIFS('Gutachtenstatistik - Rohdaten'!H:H, 2, 'Gutachtenstatistik - Rohdaten'!I:I, 1, 'Gutachtenstatistik - Rohdaten'!L:L, 2)</f>
        <v>0</v>
      </c>
      <c r="H10" s="15" t="str">
        <f>IF(G10=(C10+D10+E10), "Quersumme ok", "nicht korrekt")</f>
        <v>Quersumme ok</v>
      </c>
    </row>
    <row r="11" spans="1:8" ht="6.75" customHeight="1" thickBot="1" x14ac:dyDescent="0.3">
      <c r="A11" s="54"/>
      <c r="B11" s="39"/>
      <c r="C11" s="38"/>
      <c r="D11" s="38"/>
      <c r="E11" s="38"/>
      <c r="F11" s="40"/>
      <c r="G11" s="38"/>
      <c r="H11" s="15"/>
    </row>
    <row r="12" spans="1:8" ht="25.5" customHeight="1" thickBot="1" x14ac:dyDescent="0.3">
      <c r="A12" s="54"/>
      <c r="B12" s="29" t="s">
        <v>10</v>
      </c>
      <c r="C12" s="30"/>
      <c r="D12" s="30"/>
      <c r="E12" s="30"/>
      <c r="F12" s="37"/>
      <c r="G12" s="46"/>
      <c r="H12" s="15"/>
    </row>
    <row r="13" spans="1:8" ht="25.5" customHeight="1" x14ac:dyDescent="0.25">
      <c r="A13" s="54">
        <v>2</v>
      </c>
      <c r="B13" s="6" t="s">
        <v>0</v>
      </c>
      <c r="C13" s="7">
        <f>COUNTIFS('Gutachtenstatistik - Rohdaten'!H:H, 2, 'Gutachtenstatistik - Rohdaten'!I:I, 1, 'Gutachtenstatistik - Rohdaten'!K:K, 1, 'Gutachtenstatistik - Rohdaten'!L:L, 2, 'Gutachtenstatistik - Rohdaten'!M:M, 1)</f>
        <v>0</v>
      </c>
      <c r="D13" s="7">
        <f>COUNTIFS('Gutachtenstatistik - Rohdaten'!H:H, 2, 'Gutachtenstatistik - Rohdaten'!I:I, 1, 'Gutachtenstatistik - Rohdaten'!K:K, 1,  'Gutachtenstatistik - Rohdaten'!L:L, 2, 'Gutachtenstatistik - Rohdaten'!M:M, 2)</f>
        <v>0</v>
      </c>
      <c r="E13" s="19">
        <f>COUNTIFS('Gutachtenstatistik - Rohdaten'!H:H, 2, 'Gutachtenstatistik - Rohdaten'!I:I, 1, 'Gutachtenstatistik - Rohdaten'!K:K, 1, 'Gutachtenstatistik - Rohdaten'!L:L, 2, 'Gutachtenstatistik - Rohdaten'!M:M, 3)</f>
        <v>0</v>
      </c>
      <c r="F13" s="34"/>
      <c r="G13" s="47">
        <f>COUNTIFS('Gutachtenstatistik - Rohdaten'!H:H, 2, 'Gutachtenstatistik - Rohdaten'!I:I, 1, 'Gutachtenstatistik - Rohdaten'!K:K, 1, 'Gutachtenstatistik - Rohdaten'!L:L, 2)</f>
        <v>0</v>
      </c>
      <c r="H13" s="15" t="str">
        <f t="shared" ref="H13:H18" si="0">IF(G13=(C13+D13+E13), "Quersumme ok", "nicht korrekt")</f>
        <v>Quersumme ok</v>
      </c>
    </row>
    <row r="14" spans="1:8" ht="25.5" customHeight="1" x14ac:dyDescent="0.25">
      <c r="A14" s="54">
        <v>3</v>
      </c>
      <c r="B14" s="9" t="s">
        <v>9</v>
      </c>
      <c r="C14" s="10">
        <f>COUNTIFS('Gutachtenstatistik - Rohdaten'!H:H, 2, 'Gutachtenstatistik - Rohdaten'!I:I, 1, 'Gutachtenstatistik - Rohdaten'!K:K, 2, 'Gutachtenstatistik - Rohdaten'!L:L, 2, 'Gutachtenstatistik - Rohdaten'!M:M, 1)</f>
        <v>0</v>
      </c>
      <c r="D14" s="10">
        <f>COUNTIFS('Gutachtenstatistik - Rohdaten'!H:H, 2, 'Gutachtenstatistik - Rohdaten'!I:I, 1, 'Gutachtenstatistik - Rohdaten'!K:K, 2,  'Gutachtenstatistik - Rohdaten'!L:L, 2,'Gutachtenstatistik - Rohdaten'!M:M, 2)</f>
        <v>0</v>
      </c>
      <c r="E14" s="20">
        <f>COUNTIFS('Gutachtenstatistik - Rohdaten'!H:H, 2, 'Gutachtenstatistik - Rohdaten'!I:I, 1, 'Gutachtenstatistik - Rohdaten'!K:K, 2,  'Gutachtenstatistik - Rohdaten'!L:L, 2, 'Gutachtenstatistik - Rohdaten'!M:M, 3)</f>
        <v>0</v>
      </c>
      <c r="F14" s="34"/>
      <c r="G14" s="48">
        <f>COUNTIFS('Gutachtenstatistik - Rohdaten'!H:H, 2, 'Gutachtenstatistik - Rohdaten'!I:I, 1, 'Gutachtenstatistik - Rohdaten'!K:K, 2, 'Gutachtenstatistik - Rohdaten'!L:L, 2)</f>
        <v>0</v>
      </c>
      <c r="H14" s="15" t="str">
        <f t="shared" si="0"/>
        <v>Quersumme ok</v>
      </c>
    </row>
    <row r="15" spans="1:8" ht="25.5" customHeight="1" x14ac:dyDescent="0.25">
      <c r="A15" s="54">
        <v>4</v>
      </c>
      <c r="B15" s="9" t="s">
        <v>1</v>
      </c>
      <c r="C15" s="10">
        <f>COUNTIFS('Gutachtenstatistik - Rohdaten'!H:H, 2, 'Gutachtenstatistik - Rohdaten'!I:I, 1, 'Gutachtenstatistik - Rohdaten'!K:K, 3, 'Gutachtenstatistik - Rohdaten'!L:L, 2, 'Gutachtenstatistik - Rohdaten'!M:M, 1)</f>
        <v>0</v>
      </c>
      <c r="D15" s="10">
        <f>COUNTIFS('Gutachtenstatistik - Rohdaten'!H:H, 2, 'Gutachtenstatistik - Rohdaten'!I:I, 1, 'Gutachtenstatistik - Rohdaten'!K:K, 3,  'Gutachtenstatistik - Rohdaten'!L:L, 2, 'Gutachtenstatistik - Rohdaten'!M:M, 2)</f>
        <v>0</v>
      </c>
      <c r="E15" s="20">
        <f>COUNTIFS('Gutachtenstatistik - Rohdaten'!H:H, 2, 'Gutachtenstatistik - Rohdaten'!I:I, 1, 'Gutachtenstatistik - Rohdaten'!K:K, 3, 'Gutachtenstatistik - Rohdaten'!L:L, 2, 'Gutachtenstatistik - Rohdaten'!M:M, 3)</f>
        <v>0</v>
      </c>
      <c r="F15" s="34"/>
      <c r="G15" s="48">
        <f>COUNTIFS('Gutachtenstatistik - Rohdaten'!H:H, 2, 'Gutachtenstatistik - Rohdaten'!I:I, 1, 'Gutachtenstatistik - Rohdaten'!K:K, 3, 'Gutachtenstatistik - Rohdaten'!L:L, 2)</f>
        <v>0</v>
      </c>
      <c r="H15" s="15" t="str">
        <f t="shared" si="0"/>
        <v>Quersumme ok</v>
      </c>
    </row>
    <row r="16" spans="1:8" ht="25.5" customHeight="1" x14ac:dyDescent="0.25">
      <c r="A16" s="54">
        <v>5</v>
      </c>
      <c r="B16" s="9" t="s">
        <v>2</v>
      </c>
      <c r="C16" s="10">
        <f>COUNTIFS('Gutachtenstatistik - Rohdaten'!H:H, 2, 'Gutachtenstatistik - Rohdaten'!I:I, 1, 'Gutachtenstatistik - Rohdaten'!K:K, 4, 'Gutachtenstatistik - Rohdaten'!L:L, 2, 'Gutachtenstatistik - Rohdaten'!M:M, 1)</f>
        <v>0</v>
      </c>
      <c r="D16" s="10">
        <f>COUNTIFS('Gutachtenstatistik - Rohdaten'!H:H, 2, 'Gutachtenstatistik - Rohdaten'!I:I, 1, 'Gutachtenstatistik - Rohdaten'!K:K, 4, 'Gutachtenstatistik - Rohdaten'!L:L, 2, 'Gutachtenstatistik - Rohdaten'!M:M, 2)</f>
        <v>0</v>
      </c>
      <c r="E16" s="20">
        <f>COUNTIFS('Gutachtenstatistik - Rohdaten'!H:H, 2, 'Gutachtenstatistik - Rohdaten'!I:I, 1, 'Gutachtenstatistik - Rohdaten'!K:K, 4, 'Gutachtenstatistik - Rohdaten'!L:L, 2, 'Gutachtenstatistik - Rohdaten'!M:M, 3)</f>
        <v>0</v>
      </c>
      <c r="F16" s="34"/>
      <c r="G16" s="48">
        <f>COUNTIFS('Gutachtenstatistik - Rohdaten'!H:H, 2, 'Gutachtenstatistik - Rohdaten'!I:I, 1, 'Gutachtenstatistik - Rohdaten'!K:K, 4, 'Gutachtenstatistik - Rohdaten'!L:L, 2)</f>
        <v>0</v>
      </c>
      <c r="H16" s="15" t="str">
        <f t="shared" si="0"/>
        <v>Quersumme ok</v>
      </c>
    </row>
    <row r="17" spans="1:9" ht="25.5" customHeight="1" x14ac:dyDescent="0.25">
      <c r="A17" s="54">
        <v>6</v>
      </c>
      <c r="B17" s="9" t="s">
        <v>3</v>
      </c>
      <c r="C17" s="10">
        <f>COUNTIFS('Gutachtenstatistik - Rohdaten'!H:H, 2, 'Gutachtenstatistik - Rohdaten'!I:I, 1, 'Gutachtenstatistik - Rohdaten'!K:K, 5, 'Gutachtenstatistik - Rohdaten'!L:L, 2, 'Gutachtenstatistik - Rohdaten'!M:M, 1)</f>
        <v>0</v>
      </c>
      <c r="D17" s="10">
        <f>COUNTIFS('Gutachtenstatistik - Rohdaten'!H:H, 2, 'Gutachtenstatistik - Rohdaten'!I:I, 1, 'Gutachtenstatistik - Rohdaten'!K:K, 5, 'Gutachtenstatistik - Rohdaten'!L:L, 2, 'Gutachtenstatistik - Rohdaten'!M:M, 2)</f>
        <v>0</v>
      </c>
      <c r="E17" s="20">
        <f>COUNTIFS('Gutachtenstatistik - Rohdaten'!H:H, 2, 'Gutachtenstatistik - Rohdaten'!I:I, 1, 'Gutachtenstatistik - Rohdaten'!K:K, 5, 'Gutachtenstatistik - Rohdaten'!L:L, 2, 'Gutachtenstatistik - Rohdaten'!M:M, 3)</f>
        <v>0</v>
      </c>
      <c r="F17" s="34"/>
      <c r="G17" s="48">
        <f>COUNTIFS('Gutachtenstatistik - Rohdaten'!H:H, 2, 'Gutachtenstatistik - Rohdaten'!I:I, 1, 'Gutachtenstatistik - Rohdaten'!K:K, 5, 'Gutachtenstatistik - Rohdaten'!L:L, 2)</f>
        <v>0</v>
      </c>
      <c r="H17" s="15" t="str">
        <f t="shared" si="0"/>
        <v>Quersumme ok</v>
      </c>
    </row>
    <row r="18" spans="1:9" ht="25.5" customHeight="1" thickBot="1" x14ac:dyDescent="0.3">
      <c r="A18" s="54">
        <v>7</v>
      </c>
      <c r="B18" s="11" t="s">
        <v>32</v>
      </c>
      <c r="C18" s="12">
        <f>COUNTIFS('Gutachtenstatistik - Rohdaten'!H:H, 2, 'Gutachtenstatistik - Rohdaten'!I:I, 1, 'Gutachtenstatistik - Rohdaten'!K:K, 6, 'Gutachtenstatistik - Rohdaten'!L:L, 2, 'Gutachtenstatistik - Rohdaten'!M:M, 1)</f>
        <v>0</v>
      </c>
      <c r="D18" s="12">
        <f>COUNTIFS('Gutachtenstatistik - Rohdaten'!H:H, 2, 'Gutachtenstatistik - Rohdaten'!I:I, 1, 'Gutachtenstatistik - Rohdaten'!K:K, 6, 'Gutachtenstatistik - Rohdaten'!L:L, 2, 'Gutachtenstatistik - Rohdaten'!M:M, 2)</f>
        <v>0</v>
      </c>
      <c r="E18" s="21">
        <f>COUNTIFS('Gutachtenstatistik - Rohdaten'!H:H, 2, 'Gutachtenstatistik - Rohdaten'!I:I, 1, 'Gutachtenstatistik - Rohdaten'!K:K, 6, 'Gutachtenstatistik - Rohdaten'!L:L, 2, 'Gutachtenstatistik - Rohdaten'!M:M, 3)</f>
        <v>0</v>
      </c>
      <c r="F18" s="34"/>
      <c r="G18" s="49">
        <f>COUNTIFS('Gutachtenstatistik - Rohdaten'!H:H, 2, 'Gutachtenstatistik - Rohdaten'!I:I, 1, 'Gutachtenstatistik - Rohdaten'!K:K, 6, 'Gutachtenstatistik - Rohdaten'!L:L, 2)</f>
        <v>0</v>
      </c>
      <c r="H18" s="15" t="str">
        <f t="shared" si="0"/>
        <v>Quersumme ok</v>
      </c>
    </row>
    <row r="19" spans="1:9" ht="22.5" customHeight="1" thickBot="1" x14ac:dyDescent="0.3">
      <c r="A19" s="54">
        <v>8</v>
      </c>
      <c r="B19" s="41" t="s">
        <v>8</v>
      </c>
      <c r="C19" s="25" t="str">
        <f>IF(C10=(C13+C14+C15+C16+C17+C18), "ok", "nicht korrekt")</f>
        <v>ok</v>
      </c>
      <c r="D19" s="25" t="str">
        <f>IF(D10=(D13+D14+D15+D16+D17+D18), "ok", "nicht korrekt")</f>
        <v>ok</v>
      </c>
      <c r="E19" s="25" t="str">
        <f>IF(E10=(E13+E14+E15+E16+E17+E18), "ok", "nicht korrekt")</f>
        <v>ok</v>
      </c>
      <c r="F19" s="25"/>
      <c r="G19" s="25" t="str">
        <f>IF(G10=(G13+G14+G15+G16+G17+G18), "ok", "nicht korrekt")</f>
        <v>ok</v>
      </c>
      <c r="H19" s="15"/>
    </row>
    <row r="20" spans="1:9" ht="25.5" customHeight="1" thickBot="1" x14ac:dyDescent="0.3">
      <c r="A20" s="54"/>
      <c r="B20" s="29" t="s">
        <v>11</v>
      </c>
      <c r="C20" s="30"/>
      <c r="D20" s="30"/>
      <c r="E20" s="30"/>
      <c r="F20" s="37"/>
      <c r="G20" s="46"/>
      <c r="H20" s="15"/>
    </row>
    <row r="21" spans="1:9" ht="25.5" customHeight="1" x14ac:dyDescent="0.25">
      <c r="A21" s="54">
        <v>9</v>
      </c>
      <c r="B21" s="6" t="s">
        <v>4</v>
      </c>
      <c r="C21" s="7">
        <f>COUNTIFS('Gutachtenstatistik - Rohdaten'!H:H, 2, 'Gutachtenstatistik - Rohdaten'!I:I, 1, 'Gutachtenstatistik - Rohdaten'!J:J, 1, 'Gutachtenstatistik - Rohdaten'!L:L, 2, 'Gutachtenstatistik - Rohdaten'!M:M, 1)</f>
        <v>0</v>
      </c>
      <c r="D21" s="7">
        <f>COUNTIFS('Gutachtenstatistik - Rohdaten'!H:H, 2, 'Gutachtenstatistik - Rohdaten'!I:I, 1, 'Gutachtenstatistik - Rohdaten'!J:J, 1, 'Gutachtenstatistik - Rohdaten'!L:L, 2, 'Gutachtenstatistik - Rohdaten'!M:M, 2)</f>
        <v>0</v>
      </c>
      <c r="E21" s="19">
        <f>COUNTIFS('Gutachtenstatistik - Rohdaten'!H:H, 2, 'Gutachtenstatistik - Rohdaten'!I:I, 1, 'Gutachtenstatistik - Rohdaten'!J:J, 1,  'Gutachtenstatistik - Rohdaten'!L:L, 2, 'Gutachtenstatistik - Rohdaten'!M:M, 3)</f>
        <v>0</v>
      </c>
      <c r="F21" s="34"/>
      <c r="G21" s="47">
        <f>COUNTIFS('Gutachtenstatistik - Rohdaten'!H:H, 2, 'Gutachtenstatistik - Rohdaten'!I:I, 1, 'Gutachtenstatistik - Rohdaten'!J:J, 1, 'Gutachtenstatistik - Rohdaten'!L:L, 2)</f>
        <v>0</v>
      </c>
      <c r="H21" s="15" t="str">
        <f>IF(G21=(C21+D21+E21), "Quersumme ok", "nicht korrekt")</f>
        <v>Quersumme ok</v>
      </c>
    </row>
    <row r="22" spans="1:9" ht="25.5" customHeight="1" x14ac:dyDescent="0.25">
      <c r="A22" s="54">
        <v>10</v>
      </c>
      <c r="B22" s="9" t="s">
        <v>5</v>
      </c>
      <c r="C22" s="10">
        <f>COUNTIFS('Gutachtenstatistik - Rohdaten'!H:H, 2, 'Gutachtenstatistik - Rohdaten'!I:I, 1, 'Gutachtenstatistik - Rohdaten'!J:J, 2,  'Gutachtenstatistik - Rohdaten'!L:L, 2, 'Gutachtenstatistik - Rohdaten'!M:M, 1)</f>
        <v>0</v>
      </c>
      <c r="D22" s="10">
        <f>COUNTIFS('Gutachtenstatistik - Rohdaten'!H:H, 2, 'Gutachtenstatistik - Rohdaten'!I:I, 1, 'Gutachtenstatistik - Rohdaten'!J:J, 2, 'Gutachtenstatistik - Rohdaten'!L:L, 2, 'Gutachtenstatistik - Rohdaten'!M:M, 2)</f>
        <v>0</v>
      </c>
      <c r="E22" s="20">
        <f>COUNTIFS('Gutachtenstatistik - Rohdaten'!H:H, 2, 'Gutachtenstatistik - Rohdaten'!I:I, 1, 'Gutachtenstatistik - Rohdaten'!J:J, 2, 'Gutachtenstatistik - Rohdaten'!L:L, 2, 'Gutachtenstatistik - Rohdaten'!M:M, 3)</f>
        <v>0</v>
      </c>
      <c r="F22" s="34"/>
      <c r="G22" s="48">
        <f>COUNTIFS('Gutachtenstatistik - Rohdaten'!H:H, 2, 'Gutachtenstatistik - Rohdaten'!I:I, 1, 'Gutachtenstatistik - Rohdaten'!J:J, 2, 'Gutachtenstatistik - Rohdaten'!L:L, 2)</f>
        <v>0</v>
      </c>
      <c r="H22" s="15" t="str">
        <f>IF(G22=(C22+D22+E22), "Quersumme ok", "nicht korrekt")</f>
        <v>Quersumme ok</v>
      </c>
    </row>
    <row r="23" spans="1:9" ht="25.5" customHeight="1" x14ac:dyDescent="0.25">
      <c r="A23" s="54">
        <v>11</v>
      </c>
      <c r="B23" s="9" t="s">
        <v>6</v>
      </c>
      <c r="C23" s="10">
        <f>COUNTIFS('Gutachtenstatistik - Rohdaten'!H:H, 2, 'Gutachtenstatistik - Rohdaten'!I:I, 1, 'Gutachtenstatistik - Rohdaten'!J:J, 3, 'Gutachtenstatistik - Rohdaten'!L:L, 2, 'Gutachtenstatistik - Rohdaten'!M:M, 1)</f>
        <v>0</v>
      </c>
      <c r="D23" s="10">
        <f>COUNTIFS('Gutachtenstatistik - Rohdaten'!H:H, 2, 'Gutachtenstatistik - Rohdaten'!I:I, 1, 'Gutachtenstatistik - Rohdaten'!J:J, 3, 'Gutachtenstatistik - Rohdaten'!L:L, 2, 'Gutachtenstatistik - Rohdaten'!M:M, 2)</f>
        <v>0</v>
      </c>
      <c r="E23" s="20">
        <f>COUNTIFS('Gutachtenstatistik - Rohdaten'!H:H, 2, 'Gutachtenstatistik - Rohdaten'!I:I, 1, 'Gutachtenstatistik - Rohdaten'!J:J, 3,  'Gutachtenstatistik - Rohdaten'!L:L, 2, 'Gutachtenstatistik - Rohdaten'!M:M, 3)</f>
        <v>0</v>
      </c>
      <c r="F23" s="34"/>
      <c r="G23" s="48">
        <f>COUNTIFS('Gutachtenstatistik - Rohdaten'!H:H, 2, 'Gutachtenstatistik - Rohdaten'!I:I, 1, 'Gutachtenstatistik - Rohdaten'!J:J, 3, 'Gutachtenstatistik - Rohdaten'!L:L, 2)</f>
        <v>0</v>
      </c>
      <c r="H23" s="15" t="str">
        <f>IF(G23=(C23+D23+E23), "Quersumme ok", "nicht korrekt")</f>
        <v>Quersumme ok</v>
      </c>
    </row>
    <row r="24" spans="1:9" ht="25.5" customHeight="1" thickBot="1" x14ac:dyDescent="0.3">
      <c r="A24" s="54">
        <v>12</v>
      </c>
      <c r="B24" s="11" t="s">
        <v>7</v>
      </c>
      <c r="C24" s="12">
        <f>COUNTIFS('Gutachtenstatistik - Rohdaten'!H:H, 2, 'Gutachtenstatistik - Rohdaten'!I:I, 1, 'Gutachtenstatistik - Rohdaten'!J:J, 4, 'Gutachtenstatistik - Rohdaten'!L:L, 2, 'Gutachtenstatistik - Rohdaten'!M:M, 1)</f>
        <v>0</v>
      </c>
      <c r="D24" s="12">
        <f>COUNTIFS('Gutachtenstatistik - Rohdaten'!H:H, 2, 'Gutachtenstatistik - Rohdaten'!I:I, 1, 'Gutachtenstatistik - Rohdaten'!J:J, 4, 'Gutachtenstatistik - Rohdaten'!L:L, 2, 'Gutachtenstatistik - Rohdaten'!M:M, 2)</f>
        <v>0</v>
      </c>
      <c r="E24" s="21">
        <f>COUNTIFS('Gutachtenstatistik - Rohdaten'!H:H, 2, 'Gutachtenstatistik - Rohdaten'!I:I, 1, 'Gutachtenstatistik - Rohdaten'!J:J, 4, 'Gutachtenstatistik - Rohdaten'!L:L, 2, 'Gutachtenstatistik - Rohdaten'!M:M, 3)</f>
        <v>0</v>
      </c>
      <c r="F24" s="34"/>
      <c r="G24" s="49">
        <f>COUNTIFS('Gutachtenstatistik - Rohdaten'!H:H, 2, 'Gutachtenstatistik - Rohdaten'!I:I, 1, 'Gutachtenstatistik - Rohdaten'!J:J, 4, 'Gutachtenstatistik - Rohdaten'!L:L, 2)</f>
        <v>0</v>
      </c>
      <c r="H24" s="15" t="str">
        <f>IF(G24=(C24+D24+E24), "Quersumme ok", "nicht korrekt")</f>
        <v>Quersumme ok</v>
      </c>
    </row>
    <row r="25" spans="1:9" ht="23.25" customHeight="1" thickBot="1" x14ac:dyDescent="0.3">
      <c r="A25" s="54">
        <v>13</v>
      </c>
      <c r="B25" s="41" t="s">
        <v>8</v>
      </c>
      <c r="C25" s="25" t="str">
        <f>IF(C10=(C21+C22+C23+C24), "ok", "nicht korrekt")</f>
        <v>ok</v>
      </c>
      <c r="D25" s="25" t="str">
        <f>IF(D10=(D21+D22+D23+D24), "ok", "nicht korrekt")</f>
        <v>ok</v>
      </c>
      <c r="E25" s="25" t="str">
        <f>IF(E10=(E21+E22+E23+E24), "ok", "nicht korrekt")</f>
        <v>ok</v>
      </c>
      <c r="F25" s="25"/>
      <c r="G25" s="25" t="str">
        <f>IF(G10=(G21+G22+G23+G24), "ok", "nicht korrekt")</f>
        <v>ok</v>
      </c>
      <c r="H25" s="15"/>
    </row>
    <row r="26" spans="1:9" ht="25.5" customHeight="1" thickTop="1" thickBot="1" x14ac:dyDescent="0.3">
      <c r="A26" s="54">
        <v>14</v>
      </c>
      <c r="B26" s="44" t="s">
        <v>92</v>
      </c>
      <c r="C26" s="26">
        <f>COUNTIFS('Gutachtenstatistik - Rohdaten'!H:H, 2, 'Gutachtenstatistik - Rohdaten'!I:I, 1, 'Gutachtenstatistik - Rohdaten'!L:L, 1, 'Gutachtenstatistik - Rohdaten'!M:M, 1)</f>
        <v>0</v>
      </c>
      <c r="D26" s="8">
        <f>COUNTIFS('Gutachtenstatistik - Rohdaten'!H:H, 2, 'Gutachtenstatistik - Rohdaten'!I:I, 1, 'Gutachtenstatistik - Rohdaten'!L:L, 1, 'Gutachtenstatistik - Rohdaten'!M:M, 2)</f>
        <v>0</v>
      </c>
      <c r="E26" s="22">
        <f>COUNTIFS('Gutachtenstatistik - Rohdaten'!H:H, 2, 'Gutachtenstatistik - Rohdaten'!I:I, 1, 'Gutachtenstatistik - Rohdaten'!L:L, 1, 'Gutachtenstatistik - Rohdaten'!M:M, 3)</f>
        <v>0</v>
      </c>
      <c r="F26" s="42"/>
      <c r="G26" s="50">
        <f>COUNTIFS('Gutachtenstatistik - Rohdaten'!H:H, 2, 'Gutachtenstatistik - Rohdaten'!I:I, 1, 'Gutachtenstatistik - Rohdaten'!L:L, 1)</f>
        <v>0</v>
      </c>
      <c r="H26" s="15" t="str">
        <f>IF(G26=(C26+D26+E26), "Quersumme ok", "nicht korrekt")</f>
        <v>Quersumme ok</v>
      </c>
    </row>
    <row r="27" spans="1:9" ht="15.75" customHeight="1" thickTop="1" thickBot="1" x14ac:dyDescent="0.3">
      <c r="A27" s="54"/>
      <c r="B27" s="45" t="s">
        <v>98</v>
      </c>
      <c r="C27" s="89"/>
      <c r="D27" s="90"/>
      <c r="E27" s="28"/>
      <c r="F27" s="17"/>
      <c r="G27" s="28"/>
      <c r="H27" s="15"/>
    </row>
    <row r="28" spans="1:9" ht="39" customHeight="1" thickBot="1" x14ac:dyDescent="0.3">
      <c r="A28" s="54"/>
      <c r="B28" s="113" t="s">
        <v>123</v>
      </c>
      <c r="C28" s="114"/>
      <c r="D28" s="91" t="s">
        <v>121</v>
      </c>
      <c r="E28" s="92" t="s">
        <v>122</v>
      </c>
      <c r="F28" s="27"/>
      <c r="G28" s="27"/>
      <c r="H28" s="98" t="s">
        <v>129</v>
      </c>
    </row>
    <row r="29" spans="1:9" ht="30" customHeight="1" x14ac:dyDescent="0.25">
      <c r="A29" s="54">
        <v>15</v>
      </c>
      <c r="B29" s="115" t="s">
        <v>126</v>
      </c>
      <c r="C29" s="116"/>
      <c r="D29" s="93">
        <f>SUMIFS('Gutachtenstatistik - Rohdaten'!N:N, 'Gutachtenstatistik - Rohdaten'!H:H, 2, 'Gutachtenstatistik - Rohdaten'!I:I, 1)</f>
        <v>0</v>
      </c>
      <c r="E29" s="94">
        <f>SUMIFS('Gutachtenstatistik - Rohdaten'!O:O, 'Gutachtenstatistik - Rohdaten'!H:H, 2, 'Gutachtenstatistik - Rohdaten'!I:I, 1)</f>
        <v>0</v>
      </c>
      <c r="F29" s="14"/>
      <c r="G29" s="83" t="str">
        <f>IF(E29&lt;=D29, "ok", "nicht korrekt; Anzahl der beantragten TE muss gleich oder größer sein als die Anzahl der befürworteten TE")</f>
        <v>ok</v>
      </c>
      <c r="H29" s="97" t="e">
        <f>E29/D29</f>
        <v>#DIV/0!</v>
      </c>
    </row>
    <row r="30" spans="1:9" ht="26.25" customHeight="1" thickBot="1" x14ac:dyDescent="0.3">
      <c r="A30" s="54">
        <v>16</v>
      </c>
      <c r="B30" s="117" t="s">
        <v>127</v>
      </c>
      <c r="C30" s="118"/>
      <c r="D30" s="95">
        <f>SUMIFS('Gutachtenstatistik - Rohdaten'!P:P, 'Gutachtenstatistik - Rohdaten'!H:H, 2, 'Gutachtenstatistik - Rohdaten'!I:I, 1)</f>
        <v>0</v>
      </c>
      <c r="E30" s="96">
        <f>SUMIFS('Gutachtenstatistik - Rohdaten'!Q:Q, 'Gutachtenstatistik - Rohdaten'!H:H, 2, 'Gutachtenstatistik - Rohdaten'!I:I, 1)</f>
        <v>0</v>
      </c>
      <c r="F30" s="17"/>
      <c r="G30" s="83" t="str">
        <f>IF(E30&lt;=D30, "ok", "nicht korrekt; Anzahl der beantragten TE muss gleich oder größer sein als die Anzahl der befürworteten TE")</f>
        <v>ok</v>
      </c>
      <c r="H30" s="97" t="e">
        <f>E30/D30</f>
        <v>#DIV/0!</v>
      </c>
    </row>
    <row r="31" spans="1:9" ht="7.5" customHeight="1" x14ac:dyDescent="0.25">
      <c r="A31" s="54"/>
      <c r="B31" s="51"/>
      <c r="C31" s="51"/>
      <c r="D31" s="52"/>
      <c r="E31" s="17"/>
      <c r="F31" s="17"/>
      <c r="G31" s="13"/>
      <c r="H31" s="1"/>
    </row>
    <row r="32" spans="1:9" ht="45.75" customHeight="1" x14ac:dyDescent="0.25">
      <c r="B32" s="105" t="s">
        <v>128</v>
      </c>
      <c r="C32" s="106"/>
      <c r="D32" s="106"/>
      <c r="E32" s="106"/>
      <c r="F32" s="106"/>
      <c r="G32" s="107"/>
      <c r="H32" s="1"/>
      <c r="I32" s="23"/>
    </row>
    <row r="33" spans="2:8" customFormat="1" ht="28.35" customHeight="1" x14ac:dyDescent="0.25">
      <c r="B33" s="1"/>
      <c r="C33" s="1"/>
      <c r="D33" s="1"/>
      <c r="E33" s="1"/>
      <c r="F33" s="1"/>
      <c r="G33" s="1"/>
      <c r="H33" s="1"/>
    </row>
    <row r="34" spans="2:8" customFormat="1" ht="28.35" customHeight="1" x14ac:dyDescent="0.25">
      <c r="B34" s="1"/>
      <c r="C34" s="1"/>
      <c r="D34" s="1"/>
      <c r="E34" s="1"/>
      <c r="F34" s="1"/>
      <c r="G34" s="1"/>
      <c r="H34" s="1"/>
    </row>
    <row r="35" spans="2:8" customFormat="1" ht="27.75" customHeight="1" x14ac:dyDescent="0.25">
      <c r="B35" s="1"/>
      <c r="C35" s="1"/>
      <c r="D35" s="1"/>
      <c r="E35" s="1"/>
      <c r="F35" s="1"/>
      <c r="G35" s="1"/>
      <c r="H35" s="1"/>
    </row>
    <row r="36" spans="2:8" customFormat="1" ht="28.35" customHeight="1" x14ac:dyDescent="0.25">
      <c r="B36" s="1"/>
      <c r="C36" s="1"/>
      <c r="D36" s="1"/>
      <c r="E36" s="1"/>
      <c r="F36" s="1"/>
      <c r="G36" s="1"/>
      <c r="H36" s="1"/>
    </row>
    <row r="37" spans="2:8" customFormat="1" ht="17.100000000000001" customHeight="1" x14ac:dyDescent="0.25">
      <c r="B37" s="1"/>
      <c r="C37" s="1"/>
      <c r="D37" s="1"/>
      <c r="E37" s="1"/>
      <c r="F37" s="1"/>
      <c r="G37" s="1"/>
      <c r="H37" s="1"/>
    </row>
    <row r="38" spans="2:8" customFormat="1" ht="27" customHeight="1" x14ac:dyDescent="0.25">
      <c r="B38" s="1"/>
      <c r="C38" s="1"/>
      <c r="D38" s="1"/>
      <c r="E38" s="1"/>
      <c r="F38" s="1"/>
      <c r="G38" s="1"/>
      <c r="H38" s="1"/>
    </row>
    <row r="39" spans="2:8" customFormat="1" ht="27" customHeight="1" x14ac:dyDescent="0.25">
      <c r="B39" s="1"/>
      <c r="C39" s="1"/>
      <c r="D39" s="1"/>
      <c r="E39" s="1"/>
      <c r="F39" s="1"/>
      <c r="G39" s="1"/>
      <c r="H39" s="1"/>
    </row>
    <row r="40" spans="2:8" customFormat="1" ht="27" customHeight="1" x14ac:dyDescent="0.25">
      <c r="B40" s="1"/>
      <c r="C40" s="1"/>
      <c r="D40" s="1"/>
      <c r="E40" s="1"/>
      <c r="F40" s="1"/>
      <c r="G40" s="1"/>
      <c r="H40" s="1"/>
    </row>
    <row r="41" spans="2:8" customFormat="1" x14ac:dyDescent="0.25">
      <c r="B41" s="1"/>
      <c r="C41" s="1"/>
      <c r="D41" s="1"/>
      <c r="E41" s="1"/>
      <c r="F41" s="1"/>
      <c r="G41" s="1"/>
      <c r="H41" s="1"/>
    </row>
    <row r="42" spans="2:8" customFormat="1" x14ac:dyDescent="0.25">
      <c r="B42" s="1"/>
      <c r="C42" s="1"/>
      <c r="D42" s="1"/>
      <c r="E42" s="1"/>
      <c r="F42" s="1"/>
      <c r="G42" s="1"/>
      <c r="H42" s="1"/>
    </row>
    <row r="43" spans="2:8" customFormat="1" x14ac:dyDescent="0.25">
      <c r="B43" s="1"/>
      <c r="C43" s="1"/>
      <c r="D43" s="1"/>
      <c r="E43" s="1"/>
      <c r="F43" s="1"/>
      <c r="G43" s="1"/>
      <c r="H43" s="1"/>
    </row>
    <row r="44" spans="2:8" customFormat="1" x14ac:dyDescent="0.25">
      <c r="B44" s="1"/>
      <c r="C44" s="1"/>
      <c r="D44" s="1"/>
      <c r="E44" s="1"/>
      <c r="F44" s="1"/>
      <c r="G44" s="1"/>
      <c r="H44" s="1"/>
    </row>
    <row r="45" spans="2:8" customFormat="1" x14ac:dyDescent="0.25">
      <c r="B45" s="1"/>
      <c r="C45" s="1"/>
      <c r="D45" s="1"/>
      <c r="E45" s="1"/>
      <c r="F45" s="1"/>
      <c r="G45" s="1"/>
      <c r="H45" s="1"/>
    </row>
    <row r="46" spans="2:8" customFormat="1" x14ac:dyDescent="0.25">
      <c r="B46" s="1"/>
      <c r="C46" s="1"/>
      <c r="D46" s="1"/>
      <c r="E46" s="1"/>
      <c r="F46" s="1"/>
      <c r="G46" s="1"/>
      <c r="H46" s="1"/>
    </row>
  </sheetData>
  <mergeCells count="11">
    <mergeCell ref="C7:G7"/>
    <mergeCell ref="B28:C28"/>
    <mergeCell ref="B29:C29"/>
    <mergeCell ref="B30:C30"/>
    <mergeCell ref="B32:G32"/>
    <mergeCell ref="C6:G6"/>
    <mergeCell ref="B1:G1"/>
    <mergeCell ref="C2:G2"/>
    <mergeCell ref="C3:G3"/>
    <mergeCell ref="C4:G4"/>
    <mergeCell ref="C5:G5"/>
  </mergeCells>
  <pageMargins left="0.25" right="0.25" top="0.75" bottom="0.75" header="0.3" footer="0.3"/>
  <pageSetup paperSize="9" orientation="portrait" r:id="rId1"/>
  <headerFooter>
    <oddHeader>&amp;C&amp;"-,Fett"&amp;14GUTACHTENSTATISTIK</oddHeader>
    <oddFooter>&amp;L&amp;9Seite &amp;P von &amp;N /  KBV  /  Gutachterstatistik Auswertungsmatrix  / Juli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6"/>
  <sheetViews>
    <sheetView view="pageLayout" zoomScaleNormal="140" workbookViewId="0">
      <selection activeCell="C2" sqref="C2:G2"/>
    </sheetView>
  </sheetViews>
  <sheetFormatPr baseColWidth="10" defaultColWidth="9.140625" defaultRowHeight="15" x14ac:dyDescent="0.25"/>
  <cols>
    <col min="1" max="1" width="4.28515625" style="53" customWidth="1"/>
    <col min="2" max="2" width="25" customWidth="1"/>
    <col min="3" max="4" width="14.140625" customWidth="1"/>
    <col min="5" max="5" width="14.5703125" customWidth="1"/>
    <col min="6" max="6" width="2" customWidth="1"/>
    <col min="7" max="7" width="13.140625" customWidth="1"/>
    <col min="9" max="9" width="7.28515625" customWidth="1"/>
    <col min="10" max="10" width="23.28515625" customWidth="1"/>
    <col min="11" max="11" width="13.42578125" customWidth="1"/>
    <col min="12" max="12" width="13.28515625" customWidth="1"/>
    <col min="13" max="13" width="12.7109375" customWidth="1"/>
    <col min="14" max="14" width="3" customWidth="1"/>
    <col min="15" max="15" width="12.140625" customWidth="1"/>
  </cols>
  <sheetData>
    <row r="1" spans="1:8" ht="22.5" customHeight="1" x14ac:dyDescent="0.25">
      <c r="B1" s="102" t="s">
        <v>88</v>
      </c>
      <c r="C1" s="102"/>
      <c r="D1" s="102"/>
      <c r="E1" s="102"/>
      <c r="F1" s="102"/>
      <c r="G1" s="102"/>
      <c r="H1" s="1"/>
    </row>
    <row r="2" spans="1:8" ht="17.100000000000001" customHeight="1" x14ac:dyDescent="0.25">
      <c r="A2" s="54"/>
      <c r="B2" s="24" t="s">
        <v>13</v>
      </c>
      <c r="C2" s="99"/>
      <c r="D2" s="99"/>
      <c r="E2" s="99"/>
      <c r="F2" s="99"/>
      <c r="G2" s="99"/>
      <c r="H2" s="1"/>
    </row>
    <row r="3" spans="1:8" ht="17.100000000000001" customHeight="1" x14ac:dyDescent="0.25">
      <c r="A3" s="54"/>
      <c r="B3" s="24" t="s">
        <v>12</v>
      </c>
      <c r="C3" s="100"/>
      <c r="D3" s="100"/>
      <c r="E3" s="100"/>
      <c r="F3" s="100"/>
      <c r="G3" s="100"/>
      <c r="H3" s="1"/>
    </row>
    <row r="4" spans="1:8" ht="17.100000000000001" customHeight="1" x14ac:dyDescent="0.25">
      <c r="A4" s="54"/>
      <c r="B4" s="24" t="s">
        <v>14</v>
      </c>
      <c r="C4" s="101"/>
      <c r="D4" s="101"/>
      <c r="E4" s="101"/>
      <c r="F4" s="101"/>
      <c r="G4" s="101"/>
      <c r="H4" s="1"/>
    </row>
    <row r="5" spans="1:8" ht="17.100000000000001" customHeight="1" x14ac:dyDescent="0.25">
      <c r="A5" s="54"/>
      <c r="B5" s="24" t="s">
        <v>20</v>
      </c>
      <c r="C5" s="100"/>
      <c r="D5" s="100"/>
      <c r="E5" s="100"/>
      <c r="F5" s="100"/>
      <c r="G5" s="100"/>
      <c r="H5" s="1"/>
    </row>
    <row r="6" spans="1:8" ht="17.100000000000001" customHeight="1" x14ac:dyDescent="0.25">
      <c r="A6" s="54"/>
      <c r="B6" s="24" t="s">
        <v>85</v>
      </c>
      <c r="C6" s="101"/>
      <c r="D6" s="101"/>
      <c r="E6" s="101"/>
      <c r="F6" s="101"/>
      <c r="G6" s="101"/>
      <c r="H6" s="1"/>
    </row>
    <row r="7" spans="1:8" ht="17.100000000000001" customHeight="1" x14ac:dyDescent="0.25">
      <c r="A7" s="54"/>
      <c r="B7" s="43" t="s">
        <v>15</v>
      </c>
      <c r="C7" s="110"/>
      <c r="D7" s="110"/>
      <c r="E7" s="110"/>
      <c r="F7" s="110"/>
      <c r="G7" s="110"/>
      <c r="H7" s="2"/>
    </row>
    <row r="8" spans="1:8" ht="17.100000000000001" customHeight="1" thickBot="1" x14ac:dyDescent="0.3">
      <c r="A8" s="54"/>
      <c r="B8" s="24" t="s">
        <v>21</v>
      </c>
      <c r="C8" s="82" t="s">
        <v>26</v>
      </c>
      <c r="D8" s="82"/>
      <c r="E8" s="82"/>
      <c r="F8" s="82"/>
      <c r="G8" s="82"/>
    </row>
    <row r="9" spans="1:8" ht="27.75" customHeight="1" thickBot="1" x14ac:dyDescent="0.3">
      <c r="A9" s="54"/>
      <c r="B9" s="3"/>
      <c r="C9" s="4" t="s">
        <v>16</v>
      </c>
      <c r="D9" s="4" t="s">
        <v>17</v>
      </c>
      <c r="E9" s="18" t="s">
        <v>18</v>
      </c>
      <c r="F9" s="36"/>
      <c r="G9" s="32" t="s">
        <v>19</v>
      </c>
      <c r="H9" s="1"/>
    </row>
    <row r="10" spans="1:8" ht="22.5" customHeight="1" thickTop="1" thickBot="1" x14ac:dyDescent="0.3">
      <c r="A10" s="54">
        <v>1</v>
      </c>
      <c r="B10" s="16" t="s">
        <v>22</v>
      </c>
      <c r="C10" s="5">
        <f>COUNTIFS('Gutachtenstatistik - Rohdaten'!H:H, 2, 'Gutachtenstatistik - Rohdaten'!I:I, 2, 'Gutachtenstatistik - Rohdaten'!L:L, 2, 'Gutachtenstatistik - Rohdaten'!M:M, 1)</f>
        <v>0</v>
      </c>
      <c r="D10" s="5">
        <f>COUNTIFS('Gutachtenstatistik - Rohdaten'!H:H, 2, 'Gutachtenstatistik - Rohdaten'!I:I, 2, 'Gutachtenstatistik - Rohdaten'!L:L, 2, 'Gutachtenstatistik - Rohdaten'!M:M, 2)</f>
        <v>0</v>
      </c>
      <c r="E10" s="31">
        <f>COUNTIFS('Gutachtenstatistik - Rohdaten'!H:H, 2, 'Gutachtenstatistik - Rohdaten'!I:I, 2, 'Gutachtenstatistik - Rohdaten'!L:L, 2, 'Gutachtenstatistik - Rohdaten'!M:M, 3)</f>
        <v>0</v>
      </c>
      <c r="F10" s="35"/>
      <c r="G10" s="33">
        <f>COUNTIFS('Gutachtenstatistik - Rohdaten'!H:H, 2, 'Gutachtenstatistik - Rohdaten'!I:I, 2, 'Gutachtenstatistik - Rohdaten'!L:L, 2)</f>
        <v>0</v>
      </c>
      <c r="H10" s="15" t="str">
        <f>IF(G10=(C10+D10+E10), "Quersumme ok", "nicht korrekt")</f>
        <v>Quersumme ok</v>
      </c>
    </row>
    <row r="11" spans="1:8" ht="6.75" customHeight="1" thickBot="1" x14ac:dyDescent="0.3">
      <c r="A11" s="54"/>
      <c r="B11" s="39"/>
      <c r="C11" s="38"/>
      <c r="D11" s="38"/>
      <c r="E11" s="38"/>
      <c r="F11" s="40"/>
      <c r="G11" s="38"/>
      <c r="H11" s="15"/>
    </row>
    <row r="12" spans="1:8" ht="25.5" customHeight="1" thickBot="1" x14ac:dyDescent="0.3">
      <c r="A12" s="54"/>
      <c r="B12" s="29" t="s">
        <v>10</v>
      </c>
      <c r="C12" s="30"/>
      <c r="D12" s="30"/>
      <c r="E12" s="30"/>
      <c r="F12" s="37"/>
      <c r="G12" s="46"/>
      <c r="H12" s="15"/>
    </row>
    <row r="13" spans="1:8" ht="25.5" customHeight="1" x14ac:dyDescent="0.25">
      <c r="A13" s="54">
        <v>2</v>
      </c>
      <c r="B13" s="6" t="s">
        <v>0</v>
      </c>
      <c r="C13" s="7">
        <f>COUNTIFS('Gutachtenstatistik - Rohdaten'!H:H, 2, 'Gutachtenstatistik - Rohdaten'!I:I, 2, 'Gutachtenstatistik - Rohdaten'!K:K, 1, 'Gutachtenstatistik - Rohdaten'!L:L, 2, 'Gutachtenstatistik - Rohdaten'!M:M, 1)</f>
        <v>0</v>
      </c>
      <c r="D13" s="7">
        <f>COUNTIFS('Gutachtenstatistik - Rohdaten'!H:H, 2, 'Gutachtenstatistik - Rohdaten'!I:I, 2, 'Gutachtenstatistik - Rohdaten'!K:K, 1, 'Gutachtenstatistik - Rohdaten'!L:L, 2, 'Gutachtenstatistik - Rohdaten'!M:M, 2)</f>
        <v>0</v>
      </c>
      <c r="E13" s="19">
        <f>COUNTIFS('Gutachtenstatistik - Rohdaten'!H:H, 2, 'Gutachtenstatistik - Rohdaten'!I:I, 2, 'Gutachtenstatistik - Rohdaten'!K:K, 1, 'Gutachtenstatistik - Rohdaten'!L:L, 2, 'Gutachtenstatistik - Rohdaten'!M:M, 3)</f>
        <v>0</v>
      </c>
      <c r="F13" s="34"/>
      <c r="G13" s="47">
        <f>COUNTIFS('Gutachtenstatistik - Rohdaten'!H:H, 2, 'Gutachtenstatistik - Rohdaten'!I:I, 2, 'Gutachtenstatistik - Rohdaten'!K:K, 1, 'Gutachtenstatistik - Rohdaten'!L:L, 2)</f>
        <v>0</v>
      </c>
      <c r="H13" s="15" t="str">
        <f t="shared" ref="H13:H18" si="0">IF(G13=(C13+D13+E13), "Quersumme ok", "nicht korrekt")</f>
        <v>Quersumme ok</v>
      </c>
    </row>
    <row r="14" spans="1:8" ht="25.5" customHeight="1" x14ac:dyDescent="0.25">
      <c r="A14" s="54">
        <v>3</v>
      </c>
      <c r="B14" s="9" t="s">
        <v>9</v>
      </c>
      <c r="C14" s="10">
        <f>COUNTIFS('Gutachtenstatistik - Rohdaten'!H:H, 2, 'Gutachtenstatistik - Rohdaten'!I:I, 2, 'Gutachtenstatistik - Rohdaten'!K:K, 2, 'Gutachtenstatistik - Rohdaten'!L:L, 2, 'Gutachtenstatistik - Rohdaten'!M:M, 1)</f>
        <v>0</v>
      </c>
      <c r="D14" s="10">
        <f>COUNTIFS('Gutachtenstatistik - Rohdaten'!H:H, 2, 'Gutachtenstatistik - Rohdaten'!I:I, 2, 'Gutachtenstatistik - Rohdaten'!K:K, 2, 'Gutachtenstatistik - Rohdaten'!L:L, 2, 'Gutachtenstatistik - Rohdaten'!M:M, 2)</f>
        <v>0</v>
      </c>
      <c r="E14" s="20">
        <f>COUNTIFS('Gutachtenstatistik - Rohdaten'!H:H, 2, 'Gutachtenstatistik - Rohdaten'!I:I, 2, 'Gutachtenstatistik - Rohdaten'!K:K, 2, 'Gutachtenstatistik - Rohdaten'!L:L, 2, 'Gutachtenstatistik - Rohdaten'!M:M, 3)</f>
        <v>0</v>
      </c>
      <c r="F14" s="34"/>
      <c r="G14" s="48">
        <f>COUNTIFS('Gutachtenstatistik - Rohdaten'!H:H, 2, 'Gutachtenstatistik - Rohdaten'!I:I, 2, 'Gutachtenstatistik - Rohdaten'!K:K, 2, 'Gutachtenstatistik - Rohdaten'!L:L, 2)</f>
        <v>0</v>
      </c>
      <c r="H14" s="15" t="str">
        <f t="shared" si="0"/>
        <v>Quersumme ok</v>
      </c>
    </row>
    <row r="15" spans="1:8" ht="25.5" customHeight="1" x14ac:dyDescent="0.25">
      <c r="A15" s="54">
        <v>4</v>
      </c>
      <c r="B15" s="9" t="s">
        <v>1</v>
      </c>
      <c r="C15" s="10">
        <f>COUNTIFS('Gutachtenstatistik - Rohdaten'!H:H, 2, 'Gutachtenstatistik - Rohdaten'!I:I, 2, 'Gutachtenstatistik - Rohdaten'!K:K, 3, 'Gutachtenstatistik - Rohdaten'!L:L, 2, 'Gutachtenstatistik - Rohdaten'!M:M, 1)</f>
        <v>0</v>
      </c>
      <c r="D15" s="10">
        <f>COUNTIFS('Gutachtenstatistik - Rohdaten'!H:H, 2, 'Gutachtenstatistik - Rohdaten'!I:I, 2, 'Gutachtenstatistik - Rohdaten'!K:K, 3, 'Gutachtenstatistik - Rohdaten'!L:L, 2, 'Gutachtenstatistik - Rohdaten'!M:M, 2)</f>
        <v>0</v>
      </c>
      <c r="E15" s="20">
        <f>COUNTIFS('Gutachtenstatistik - Rohdaten'!H:H, 2, 'Gutachtenstatistik - Rohdaten'!I:I, 2, 'Gutachtenstatistik - Rohdaten'!K:K, 3, 'Gutachtenstatistik - Rohdaten'!L:L, 2, 'Gutachtenstatistik - Rohdaten'!M:M, 3)</f>
        <v>0</v>
      </c>
      <c r="F15" s="34"/>
      <c r="G15" s="48">
        <f>COUNTIFS('Gutachtenstatistik - Rohdaten'!H:H, 2, 'Gutachtenstatistik - Rohdaten'!I:I, 2, 'Gutachtenstatistik - Rohdaten'!K:K, 3, 'Gutachtenstatistik - Rohdaten'!L:L, 2)</f>
        <v>0</v>
      </c>
      <c r="H15" s="15" t="str">
        <f t="shared" si="0"/>
        <v>Quersumme ok</v>
      </c>
    </row>
    <row r="16" spans="1:8" ht="25.5" customHeight="1" x14ac:dyDescent="0.25">
      <c r="A16" s="54">
        <v>5</v>
      </c>
      <c r="B16" s="9" t="s">
        <v>2</v>
      </c>
      <c r="C16" s="10">
        <f>COUNTIFS('Gutachtenstatistik - Rohdaten'!H:H, 2, 'Gutachtenstatistik - Rohdaten'!I:I, 2, 'Gutachtenstatistik - Rohdaten'!K:K, 4, 'Gutachtenstatistik - Rohdaten'!L:L, 2, 'Gutachtenstatistik - Rohdaten'!M:M, 1)</f>
        <v>0</v>
      </c>
      <c r="D16" s="10">
        <f>COUNTIFS('Gutachtenstatistik - Rohdaten'!H:H, 2, 'Gutachtenstatistik - Rohdaten'!I:I, 2, 'Gutachtenstatistik - Rohdaten'!K:K, 4, 'Gutachtenstatistik - Rohdaten'!L:L, 2, 'Gutachtenstatistik - Rohdaten'!M:M, 2)</f>
        <v>0</v>
      </c>
      <c r="E16" s="20">
        <f>COUNTIFS('Gutachtenstatistik - Rohdaten'!H:H, 2, 'Gutachtenstatistik - Rohdaten'!I:I, 2, 'Gutachtenstatistik - Rohdaten'!K:K, 4, 'Gutachtenstatistik - Rohdaten'!L:L, 2, 'Gutachtenstatistik - Rohdaten'!M:M, 3)</f>
        <v>0</v>
      </c>
      <c r="F16" s="34"/>
      <c r="G16" s="48">
        <f>COUNTIFS('Gutachtenstatistik - Rohdaten'!H:H, 2, 'Gutachtenstatistik - Rohdaten'!I:I, 2, 'Gutachtenstatistik - Rohdaten'!K:K, 4, 'Gutachtenstatistik - Rohdaten'!L:L, 2)</f>
        <v>0</v>
      </c>
      <c r="H16" s="15" t="str">
        <f t="shared" si="0"/>
        <v>Quersumme ok</v>
      </c>
    </row>
    <row r="17" spans="1:9" ht="25.5" customHeight="1" x14ac:dyDescent="0.25">
      <c r="A17" s="54">
        <v>6</v>
      </c>
      <c r="B17" s="9" t="s">
        <v>3</v>
      </c>
      <c r="C17" s="10">
        <f>COUNTIFS('Gutachtenstatistik - Rohdaten'!H:H, 2, 'Gutachtenstatistik - Rohdaten'!I:I, 2, 'Gutachtenstatistik - Rohdaten'!K:K, 5, 'Gutachtenstatistik - Rohdaten'!L:L, 2, 'Gutachtenstatistik - Rohdaten'!M:M, 1)</f>
        <v>0</v>
      </c>
      <c r="D17" s="10">
        <f>COUNTIFS('Gutachtenstatistik - Rohdaten'!H:H, 2, 'Gutachtenstatistik - Rohdaten'!I:I, 2, 'Gutachtenstatistik - Rohdaten'!K:K, 5, 'Gutachtenstatistik - Rohdaten'!L:L, 2, 'Gutachtenstatistik - Rohdaten'!M:M, 2)</f>
        <v>0</v>
      </c>
      <c r="E17" s="20">
        <f>COUNTIFS('Gutachtenstatistik - Rohdaten'!H:H, 2, 'Gutachtenstatistik - Rohdaten'!I:I, 2, 'Gutachtenstatistik - Rohdaten'!K:K, 5, 'Gutachtenstatistik - Rohdaten'!L:L, 2, 'Gutachtenstatistik - Rohdaten'!M:M, 3)</f>
        <v>0</v>
      </c>
      <c r="F17" s="34"/>
      <c r="G17" s="48">
        <f>COUNTIFS('Gutachtenstatistik - Rohdaten'!H:H, 2, 'Gutachtenstatistik - Rohdaten'!I:I, 2, 'Gutachtenstatistik - Rohdaten'!K:K, 5, 'Gutachtenstatistik - Rohdaten'!L:L, 2)</f>
        <v>0</v>
      </c>
      <c r="H17" s="15" t="str">
        <f t="shared" si="0"/>
        <v>Quersumme ok</v>
      </c>
    </row>
    <row r="18" spans="1:9" ht="25.5" customHeight="1" thickBot="1" x14ac:dyDescent="0.3">
      <c r="A18" s="54">
        <v>7</v>
      </c>
      <c r="B18" s="11" t="s">
        <v>31</v>
      </c>
      <c r="C18" s="12">
        <f>COUNTIFS('Gutachtenstatistik - Rohdaten'!H:H, 2, 'Gutachtenstatistik - Rohdaten'!I:I, 2, 'Gutachtenstatistik - Rohdaten'!K:K, 6, 'Gutachtenstatistik - Rohdaten'!L:L, 2, 'Gutachtenstatistik - Rohdaten'!M:M, 1)</f>
        <v>0</v>
      </c>
      <c r="D18" s="12">
        <f>COUNTIFS('Gutachtenstatistik - Rohdaten'!H:H, 2, 'Gutachtenstatistik - Rohdaten'!I:I, 2, 'Gutachtenstatistik - Rohdaten'!K:K, 6, 'Gutachtenstatistik - Rohdaten'!L:L, 2, 'Gutachtenstatistik - Rohdaten'!M:M, 2)</f>
        <v>0</v>
      </c>
      <c r="E18" s="21">
        <f>COUNTIFS('Gutachtenstatistik - Rohdaten'!H:H, 2, 'Gutachtenstatistik - Rohdaten'!I:I, 2, 'Gutachtenstatistik - Rohdaten'!K:K, 6, 'Gutachtenstatistik - Rohdaten'!L:L, 2, 'Gutachtenstatistik - Rohdaten'!M:M, 3)</f>
        <v>0</v>
      </c>
      <c r="F18" s="34"/>
      <c r="G18" s="49">
        <f>COUNTIFS('Gutachtenstatistik - Rohdaten'!H:H, 2, 'Gutachtenstatistik - Rohdaten'!I:I, 2, 'Gutachtenstatistik - Rohdaten'!K:K, 6, 'Gutachtenstatistik - Rohdaten'!L:L, 2)</f>
        <v>0</v>
      </c>
      <c r="H18" s="15" t="str">
        <f t="shared" si="0"/>
        <v>Quersumme ok</v>
      </c>
    </row>
    <row r="19" spans="1:9" ht="22.5" customHeight="1" thickBot="1" x14ac:dyDescent="0.3">
      <c r="A19" s="54">
        <v>8</v>
      </c>
      <c r="B19" s="41" t="s">
        <v>8</v>
      </c>
      <c r="C19" s="25" t="str">
        <f>IF(C10=(C13+C14+C15+C16+C17+C18), "ok", "nicht korrekt")</f>
        <v>ok</v>
      </c>
      <c r="D19" s="25" t="str">
        <f>IF(D10=(D13+D14+D15+D16+D17+D18), "ok", "nicht korrekt")</f>
        <v>ok</v>
      </c>
      <c r="E19" s="25" t="str">
        <f>IF(E10=(E13+E14+E15+E16+E17+E18), "ok", "nicht korrekt")</f>
        <v>ok</v>
      </c>
      <c r="F19" s="25"/>
      <c r="G19" s="25" t="str">
        <f>IF(G10=(G13+G14+G15+G16+G17+G18), "ok", "nicht korrekt")</f>
        <v>ok</v>
      </c>
      <c r="H19" s="15"/>
    </row>
    <row r="20" spans="1:9" ht="25.5" customHeight="1" thickBot="1" x14ac:dyDescent="0.3">
      <c r="A20" s="54"/>
      <c r="B20" s="29" t="s">
        <v>11</v>
      </c>
      <c r="C20" s="30"/>
      <c r="D20" s="30"/>
      <c r="E20" s="30"/>
      <c r="F20" s="37"/>
      <c r="G20" s="46"/>
      <c r="H20" s="15"/>
    </row>
    <row r="21" spans="1:9" ht="25.5" customHeight="1" x14ac:dyDescent="0.25">
      <c r="A21" s="54">
        <v>9</v>
      </c>
      <c r="B21" s="6" t="s">
        <v>4</v>
      </c>
      <c r="C21" s="7">
        <f>COUNTIFS('Gutachtenstatistik - Rohdaten'!H:H, 2, 'Gutachtenstatistik - Rohdaten'!I:I, 2, 'Gutachtenstatistik - Rohdaten'!J:J, 1, 'Gutachtenstatistik - Rohdaten'!L:L, 2, 'Gutachtenstatistik - Rohdaten'!M:M, 1)</f>
        <v>0</v>
      </c>
      <c r="D21" s="7">
        <f>COUNTIFS('Gutachtenstatistik - Rohdaten'!H:H, 2, 'Gutachtenstatistik - Rohdaten'!I:I, 2, 'Gutachtenstatistik - Rohdaten'!J:J, 1, 'Gutachtenstatistik - Rohdaten'!L:L, 2, 'Gutachtenstatistik - Rohdaten'!M:M, 2)</f>
        <v>0</v>
      </c>
      <c r="E21" s="19">
        <f>COUNTIFS('Gutachtenstatistik - Rohdaten'!H:H, 2, 'Gutachtenstatistik - Rohdaten'!I:I, 2, 'Gutachtenstatistik - Rohdaten'!J:J, 1, 'Gutachtenstatistik - Rohdaten'!L:L, 2, 'Gutachtenstatistik - Rohdaten'!M:M, 3)</f>
        <v>0</v>
      </c>
      <c r="F21" s="34"/>
      <c r="G21" s="47">
        <f>COUNTIFS('Gutachtenstatistik - Rohdaten'!H:H, 2, 'Gutachtenstatistik - Rohdaten'!I:I, 2, 'Gutachtenstatistik - Rohdaten'!J:J, 1, 'Gutachtenstatistik - Rohdaten'!L:L, 2)</f>
        <v>0</v>
      </c>
      <c r="H21" s="15" t="str">
        <f>IF(G21=(C21+D21+E21), "Quersumme ok", "nicht korrekt")</f>
        <v>Quersumme ok</v>
      </c>
    </row>
    <row r="22" spans="1:9" ht="25.5" customHeight="1" x14ac:dyDescent="0.25">
      <c r="A22" s="54">
        <v>10</v>
      </c>
      <c r="B22" s="9" t="s">
        <v>5</v>
      </c>
      <c r="C22" s="10">
        <f>COUNTIFS('Gutachtenstatistik - Rohdaten'!H:H, 2, 'Gutachtenstatistik - Rohdaten'!I:I, 2, 'Gutachtenstatistik - Rohdaten'!J:J, 2, 'Gutachtenstatistik - Rohdaten'!L:L, 2, 'Gutachtenstatistik - Rohdaten'!M:M, 1)</f>
        <v>0</v>
      </c>
      <c r="D22" s="10">
        <f>COUNTIFS('Gutachtenstatistik - Rohdaten'!H:H, 2, 'Gutachtenstatistik - Rohdaten'!I:I, 2, 'Gutachtenstatistik - Rohdaten'!J:J, 2, 'Gutachtenstatistik - Rohdaten'!L:L, 2, 'Gutachtenstatistik - Rohdaten'!M:M, 2)</f>
        <v>0</v>
      </c>
      <c r="E22" s="20">
        <f>COUNTIFS('Gutachtenstatistik - Rohdaten'!H:H, 2, 'Gutachtenstatistik - Rohdaten'!I:I, 2, 'Gutachtenstatistik - Rohdaten'!J:J, 2, 'Gutachtenstatistik - Rohdaten'!L:L, 2, 'Gutachtenstatistik - Rohdaten'!M:M, 3)</f>
        <v>0</v>
      </c>
      <c r="F22" s="34"/>
      <c r="G22" s="48">
        <f>COUNTIFS('Gutachtenstatistik - Rohdaten'!H:H, 2, 'Gutachtenstatistik - Rohdaten'!I:I, 2, 'Gutachtenstatistik - Rohdaten'!J:J, 2, 'Gutachtenstatistik - Rohdaten'!L:L, 2)</f>
        <v>0</v>
      </c>
      <c r="H22" s="15" t="str">
        <f>IF(G22=(C22+D22+E22), "Quersumme ok", "nicht korrekt")</f>
        <v>Quersumme ok</v>
      </c>
    </row>
    <row r="23" spans="1:9" ht="25.5" customHeight="1" x14ac:dyDescent="0.25">
      <c r="A23" s="54">
        <v>11</v>
      </c>
      <c r="B23" s="9" t="s">
        <v>6</v>
      </c>
      <c r="C23" s="10">
        <f>COUNTIFS('Gutachtenstatistik - Rohdaten'!H:H, 2, 'Gutachtenstatistik - Rohdaten'!I:I, 2, 'Gutachtenstatistik - Rohdaten'!J:J, 3, 'Gutachtenstatistik - Rohdaten'!L:L, 2, 'Gutachtenstatistik - Rohdaten'!M:M, 1)</f>
        <v>0</v>
      </c>
      <c r="D23" s="10">
        <f>COUNTIFS('Gutachtenstatistik - Rohdaten'!H:H, 2, 'Gutachtenstatistik - Rohdaten'!I:I, 2, 'Gutachtenstatistik - Rohdaten'!J:J, 3, 'Gutachtenstatistik - Rohdaten'!L:L, 2, 'Gutachtenstatistik - Rohdaten'!M:M, 2)</f>
        <v>0</v>
      </c>
      <c r="E23" s="20">
        <f>COUNTIFS('Gutachtenstatistik - Rohdaten'!H:H, 2, 'Gutachtenstatistik - Rohdaten'!I:I, 2, 'Gutachtenstatistik - Rohdaten'!J:J, 3, 'Gutachtenstatistik - Rohdaten'!L:L, 2, 'Gutachtenstatistik - Rohdaten'!M:M, 3)</f>
        <v>0</v>
      </c>
      <c r="F23" s="34"/>
      <c r="G23" s="48">
        <f>COUNTIFS('Gutachtenstatistik - Rohdaten'!H:H, 2, 'Gutachtenstatistik - Rohdaten'!I:I, 2, 'Gutachtenstatistik - Rohdaten'!J:J, 3, 'Gutachtenstatistik - Rohdaten'!L:L, 2)</f>
        <v>0</v>
      </c>
      <c r="H23" s="15" t="str">
        <f>IF(G23=(C23+D23+E23), "Quersumme ok", "nicht korrekt")</f>
        <v>Quersumme ok</v>
      </c>
    </row>
    <row r="24" spans="1:9" ht="25.5" customHeight="1" thickBot="1" x14ac:dyDescent="0.3">
      <c r="A24" s="54">
        <v>12</v>
      </c>
      <c r="B24" s="11" t="s">
        <v>7</v>
      </c>
      <c r="C24" s="12">
        <f>COUNTIFS('Gutachtenstatistik - Rohdaten'!H:H, 2, 'Gutachtenstatistik - Rohdaten'!I:I, 2, 'Gutachtenstatistik - Rohdaten'!J:J, 4, 'Gutachtenstatistik - Rohdaten'!L:L, 2, 'Gutachtenstatistik - Rohdaten'!M:M, 1)</f>
        <v>0</v>
      </c>
      <c r="D24" s="12">
        <f>COUNTIFS('Gutachtenstatistik - Rohdaten'!H:H, 2, 'Gutachtenstatistik - Rohdaten'!I:I, 2, 'Gutachtenstatistik - Rohdaten'!J:J, 4, 'Gutachtenstatistik - Rohdaten'!L:L, 2, 'Gutachtenstatistik - Rohdaten'!M:M, 2)</f>
        <v>0</v>
      </c>
      <c r="E24" s="21">
        <f>COUNTIFS('Gutachtenstatistik - Rohdaten'!H:H, 2, 'Gutachtenstatistik - Rohdaten'!I:I, 2, 'Gutachtenstatistik - Rohdaten'!J:J, 4, 'Gutachtenstatistik - Rohdaten'!L:L, 2, 'Gutachtenstatistik - Rohdaten'!M:M, 3)</f>
        <v>0</v>
      </c>
      <c r="F24" s="34"/>
      <c r="G24" s="49">
        <f>COUNTIFS('Gutachtenstatistik - Rohdaten'!H:H, 2, 'Gutachtenstatistik - Rohdaten'!I:I, 2, 'Gutachtenstatistik - Rohdaten'!J:J, 4, 'Gutachtenstatistik - Rohdaten'!L:L, 2)</f>
        <v>0</v>
      </c>
      <c r="H24" s="15" t="str">
        <f>IF(G24=(C24+D24+E24), "Quersumme ok", "nicht korrekt")</f>
        <v>Quersumme ok</v>
      </c>
    </row>
    <row r="25" spans="1:9" ht="23.25" customHeight="1" thickBot="1" x14ac:dyDescent="0.3">
      <c r="A25" s="54">
        <v>13</v>
      </c>
      <c r="B25" s="41" t="s">
        <v>8</v>
      </c>
      <c r="C25" s="25" t="str">
        <f>IF(C10=(C21+C22+C23+C24), "ok", "nicht korrekt")</f>
        <v>ok</v>
      </c>
      <c r="D25" s="25" t="str">
        <f>IF(D10=(D21+D22+D23+D24), "ok", "nicht korrekt")</f>
        <v>ok</v>
      </c>
      <c r="E25" s="25" t="str">
        <f>IF(E10=(E21+E22+E23+E24), "ok", "nicht korrekt")</f>
        <v>ok</v>
      </c>
      <c r="F25" s="25"/>
      <c r="G25" s="25" t="str">
        <f>IF(G10=(G21+G22+G23+G24), "ok", "nicht korrekt")</f>
        <v>ok</v>
      </c>
      <c r="H25" s="15"/>
    </row>
    <row r="26" spans="1:9" ht="25.5" customHeight="1" thickTop="1" thickBot="1" x14ac:dyDescent="0.3">
      <c r="A26" s="54">
        <v>14</v>
      </c>
      <c r="B26" s="44" t="s">
        <v>92</v>
      </c>
      <c r="C26" s="26">
        <f>COUNTIFS('Gutachtenstatistik - Rohdaten'!H:H, 2, 'Gutachtenstatistik - Rohdaten'!I:I, 2, 'Gutachtenstatistik - Rohdaten'!L:L, 1, 'Gutachtenstatistik - Rohdaten'!M:M, 1)</f>
        <v>0</v>
      </c>
      <c r="D26" s="8">
        <f>COUNTIFS('Gutachtenstatistik - Rohdaten'!H:H, 2, 'Gutachtenstatistik - Rohdaten'!I:I, 2, 'Gutachtenstatistik - Rohdaten'!L:L, 1, 'Gutachtenstatistik - Rohdaten'!M:M, 2)</f>
        <v>0</v>
      </c>
      <c r="E26" s="22">
        <f>COUNTIFS('Gutachtenstatistik - Rohdaten'!H:H, 2, 'Gutachtenstatistik - Rohdaten'!I:I, 2, 'Gutachtenstatistik - Rohdaten'!L:L, 1, 'Gutachtenstatistik - Rohdaten'!M:M, 3)</f>
        <v>0</v>
      </c>
      <c r="F26" s="42"/>
      <c r="G26" s="50">
        <f>COUNTIFS('Gutachtenstatistik - Rohdaten'!H:H, 2, 'Gutachtenstatistik - Rohdaten'!I:I, 2, 'Gutachtenstatistik - Rohdaten'!L:L, 1)</f>
        <v>0</v>
      </c>
      <c r="H26" s="15" t="str">
        <f>IF(G26=(C26+D26+E26), "Quersumme ok", "nicht korrekt")</f>
        <v>Quersumme ok</v>
      </c>
    </row>
    <row r="27" spans="1:9" ht="15.75" customHeight="1" thickTop="1" thickBot="1" x14ac:dyDescent="0.3">
      <c r="A27" s="54"/>
      <c r="B27" s="45" t="s">
        <v>98</v>
      </c>
      <c r="C27" s="89"/>
      <c r="D27" s="90"/>
      <c r="E27" s="28"/>
      <c r="F27" s="17"/>
      <c r="G27" s="28"/>
      <c r="H27" s="15"/>
    </row>
    <row r="28" spans="1:9" ht="39" customHeight="1" thickBot="1" x14ac:dyDescent="0.3">
      <c r="A28" s="54"/>
      <c r="B28" s="113" t="s">
        <v>123</v>
      </c>
      <c r="C28" s="114"/>
      <c r="D28" s="91" t="s">
        <v>121</v>
      </c>
      <c r="E28" s="92" t="s">
        <v>122</v>
      </c>
      <c r="F28" s="27"/>
      <c r="G28" s="27"/>
      <c r="H28" s="98" t="s">
        <v>129</v>
      </c>
    </row>
    <row r="29" spans="1:9" ht="30" customHeight="1" x14ac:dyDescent="0.25">
      <c r="A29" s="54">
        <v>15</v>
      </c>
      <c r="B29" s="115" t="s">
        <v>126</v>
      </c>
      <c r="C29" s="116"/>
      <c r="D29" s="93">
        <f>SUMIFS('Gutachtenstatistik - Rohdaten'!N:N, 'Gutachtenstatistik - Rohdaten'!H:H, 2, 'Gutachtenstatistik - Rohdaten'!I:I, 2)</f>
        <v>0</v>
      </c>
      <c r="E29" s="94">
        <f>SUMIFS('Gutachtenstatistik - Rohdaten'!O:O, 'Gutachtenstatistik - Rohdaten'!H:H, 2, 'Gutachtenstatistik - Rohdaten'!I:I, 2)</f>
        <v>0</v>
      </c>
      <c r="F29" s="14"/>
      <c r="G29" s="83" t="str">
        <f>IF(E29&lt;=D29, "ok", "nicht korrekt; Anzahl der beantragten TE muss gleich oder größer sein als die Anzahl der befürworteten TE")</f>
        <v>ok</v>
      </c>
      <c r="H29" s="97" t="e">
        <f>E29/D29</f>
        <v>#DIV/0!</v>
      </c>
    </row>
    <row r="30" spans="1:9" ht="26.25" customHeight="1" thickBot="1" x14ac:dyDescent="0.3">
      <c r="A30" s="54">
        <v>16</v>
      </c>
      <c r="B30" s="117" t="s">
        <v>127</v>
      </c>
      <c r="C30" s="118"/>
      <c r="D30" s="95">
        <f>SUMIFS('Gutachtenstatistik - Rohdaten'!P:P, 'Gutachtenstatistik - Rohdaten'!H:H, 2, 'Gutachtenstatistik - Rohdaten'!I:I, 2)</f>
        <v>0</v>
      </c>
      <c r="E30" s="96">
        <f>SUMIFS('Gutachtenstatistik - Rohdaten'!Q:Q, 'Gutachtenstatistik - Rohdaten'!H:H, 2, 'Gutachtenstatistik - Rohdaten'!I:I, 2)</f>
        <v>0</v>
      </c>
      <c r="F30" s="17"/>
      <c r="G30" s="83" t="str">
        <f>IF(E30&lt;=D30, "ok", "nicht korrekt; Anzahl der beantragten TE muss gleich oder größer sein als die Anzahl der befürworteten TE")</f>
        <v>ok</v>
      </c>
      <c r="H30" s="97" t="e">
        <f>E30/D30</f>
        <v>#DIV/0!</v>
      </c>
    </row>
    <row r="31" spans="1:9" ht="7.5" customHeight="1" x14ac:dyDescent="0.25">
      <c r="A31" s="54"/>
      <c r="B31" s="51"/>
      <c r="C31" s="51"/>
      <c r="D31" s="52"/>
      <c r="E31" s="17"/>
      <c r="F31" s="17"/>
      <c r="G31" s="13"/>
      <c r="H31" s="1"/>
    </row>
    <row r="32" spans="1:9" ht="45.75" customHeight="1" x14ac:dyDescent="0.25">
      <c r="B32" s="105" t="s">
        <v>128</v>
      </c>
      <c r="C32" s="106"/>
      <c r="D32" s="106"/>
      <c r="E32" s="106"/>
      <c r="F32" s="106"/>
      <c r="G32" s="107"/>
      <c r="H32" s="1"/>
      <c r="I32" s="23"/>
    </row>
    <row r="33" spans="2:8" customFormat="1" ht="28.35" customHeight="1" x14ac:dyDescent="0.25">
      <c r="B33" s="1"/>
      <c r="C33" s="1"/>
      <c r="D33" s="1"/>
      <c r="E33" s="1"/>
      <c r="F33" s="1"/>
      <c r="G33" s="1"/>
      <c r="H33" s="1"/>
    </row>
    <row r="34" spans="2:8" customFormat="1" ht="28.35" customHeight="1" x14ac:dyDescent="0.25">
      <c r="B34" s="1"/>
      <c r="C34" s="1"/>
      <c r="D34" s="1"/>
      <c r="E34" s="1"/>
      <c r="F34" s="1"/>
      <c r="G34" s="1"/>
      <c r="H34" s="1"/>
    </row>
    <row r="35" spans="2:8" customFormat="1" ht="27.75" customHeight="1" x14ac:dyDescent="0.25">
      <c r="B35" s="1"/>
      <c r="C35" s="1"/>
      <c r="D35" s="1"/>
      <c r="E35" s="1"/>
      <c r="F35" s="1"/>
      <c r="G35" s="1"/>
      <c r="H35" s="1"/>
    </row>
    <row r="36" spans="2:8" customFormat="1" ht="28.35" customHeight="1" x14ac:dyDescent="0.25">
      <c r="B36" s="1"/>
      <c r="C36" s="1"/>
      <c r="D36" s="1"/>
      <c r="E36" s="1"/>
      <c r="F36" s="1"/>
      <c r="G36" s="1"/>
      <c r="H36" s="1"/>
    </row>
    <row r="37" spans="2:8" customFormat="1" ht="17.100000000000001" customHeight="1" x14ac:dyDescent="0.25">
      <c r="B37" s="1"/>
      <c r="C37" s="1"/>
      <c r="D37" s="1"/>
      <c r="E37" s="1"/>
      <c r="F37" s="1"/>
      <c r="G37" s="1"/>
      <c r="H37" s="1"/>
    </row>
    <row r="38" spans="2:8" customFormat="1" ht="27" customHeight="1" x14ac:dyDescent="0.25">
      <c r="B38" s="1"/>
      <c r="C38" s="1"/>
      <c r="D38" s="1"/>
      <c r="E38" s="1"/>
      <c r="F38" s="1"/>
      <c r="G38" s="1"/>
      <c r="H38" s="1"/>
    </row>
    <row r="39" spans="2:8" customFormat="1" ht="27" customHeight="1" x14ac:dyDescent="0.25">
      <c r="B39" s="1"/>
      <c r="C39" s="1"/>
      <c r="D39" s="1"/>
      <c r="E39" s="1"/>
      <c r="F39" s="1"/>
      <c r="G39" s="1"/>
      <c r="H39" s="1"/>
    </row>
    <row r="40" spans="2:8" customFormat="1" ht="27" customHeight="1" x14ac:dyDescent="0.25">
      <c r="B40" s="1"/>
      <c r="C40" s="1"/>
      <c r="D40" s="1"/>
      <c r="E40" s="1"/>
      <c r="F40" s="1"/>
      <c r="G40" s="1"/>
      <c r="H40" s="1"/>
    </row>
    <row r="41" spans="2:8" customFormat="1" x14ac:dyDescent="0.25">
      <c r="B41" s="1"/>
      <c r="C41" s="1"/>
      <c r="D41" s="1"/>
      <c r="E41" s="1"/>
      <c r="F41" s="1"/>
      <c r="G41" s="1"/>
      <c r="H41" s="1"/>
    </row>
    <row r="42" spans="2:8" customFormat="1" x14ac:dyDescent="0.25">
      <c r="B42" s="1"/>
      <c r="C42" s="1"/>
      <c r="D42" s="1"/>
      <c r="E42" s="1"/>
      <c r="F42" s="1"/>
      <c r="G42" s="1"/>
      <c r="H42" s="1"/>
    </row>
    <row r="43" spans="2:8" customFormat="1" x14ac:dyDescent="0.25">
      <c r="B43" s="1"/>
      <c r="C43" s="1"/>
      <c r="D43" s="1"/>
      <c r="E43" s="1"/>
      <c r="F43" s="1"/>
      <c r="G43" s="1"/>
      <c r="H43" s="1"/>
    </row>
    <row r="44" spans="2:8" customFormat="1" x14ac:dyDescent="0.25">
      <c r="B44" s="1"/>
      <c r="C44" s="1"/>
      <c r="D44" s="1"/>
      <c r="E44" s="1"/>
      <c r="F44" s="1"/>
      <c r="G44" s="1"/>
      <c r="H44" s="1"/>
    </row>
    <row r="45" spans="2:8" customFormat="1" x14ac:dyDescent="0.25">
      <c r="B45" s="1"/>
      <c r="C45" s="1"/>
      <c r="D45" s="1"/>
      <c r="E45" s="1"/>
      <c r="F45" s="1"/>
      <c r="G45" s="1"/>
      <c r="H45" s="1"/>
    </row>
    <row r="46" spans="2:8" customFormat="1" x14ac:dyDescent="0.25">
      <c r="B46" s="1"/>
      <c r="C46" s="1"/>
      <c r="D46" s="1"/>
      <c r="E46" s="1"/>
      <c r="F46" s="1"/>
      <c r="G46" s="1"/>
      <c r="H46" s="1"/>
    </row>
  </sheetData>
  <mergeCells count="11">
    <mergeCell ref="C7:G7"/>
    <mergeCell ref="B28:C28"/>
    <mergeCell ref="B29:C29"/>
    <mergeCell ref="B30:C30"/>
    <mergeCell ref="B32:G32"/>
    <mergeCell ref="C6:G6"/>
    <mergeCell ref="B1:G1"/>
    <mergeCell ref="C2:G2"/>
    <mergeCell ref="C3:G3"/>
    <mergeCell ref="C4:G4"/>
    <mergeCell ref="C5:G5"/>
  </mergeCells>
  <pageMargins left="0.25" right="0.25" top="0.75" bottom="0.75" header="0.3" footer="0.3"/>
  <pageSetup paperSize="9" orientation="portrait" r:id="rId1"/>
  <headerFooter>
    <oddHeader>&amp;C&amp;"-,Fett"&amp;14GUTACHTENSTATISTIK</oddHeader>
    <oddFooter>&amp;L&amp;9Seite &amp;P von &amp;N /  KBV  /  Gutachterstatistik Auswertungsmatrix  / Juli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6"/>
  <sheetViews>
    <sheetView view="pageLayout" zoomScaleNormal="140" workbookViewId="0">
      <selection activeCell="C2" sqref="C2:G2"/>
    </sheetView>
  </sheetViews>
  <sheetFormatPr baseColWidth="10" defaultColWidth="9.140625" defaultRowHeight="15" x14ac:dyDescent="0.25"/>
  <cols>
    <col min="1" max="1" width="4.28515625" style="53" customWidth="1"/>
    <col min="2" max="2" width="25" customWidth="1"/>
    <col min="3" max="3" width="14.28515625" customWidth="1"/>
    <col min="4" max="5" width="14.5703125" customWidth="1"/>
    <col min="6" max="6" width="1.28515625" customWidth="1"/>
    <col min="7" max="7" width="13.140625" customWidth="1"/>
    <col min="9" max="9" width="7.28515625" customWidth="1"/>
    <col min="10" max="10" width="23.28515625" customWidth="1"/>
    <col min="11" max="11" width="13.42578125" customWidth="1"/>
    <col min="12" max="12" width="13.28515625" customWidth="1"/>
    <col min="13" max="13" width="12.7109375" customWidth="1"/>
    <col min="14" max="14" width="3" customWidth="1"/>
    <col min="15" max="15" width="12.140625" customWidth="1"/>
  </cols>
  <sheetData>
    <row r="1" spans="1:8" ht="22.5" customHeight="1" x14ac:dyDescent="0.25">
      <c r="B1" s="102" t="s">
        <v>87</v>
      </c>
      <c r="C1" s="102"/>
      <c r="D1" s="102"/>
      <c r="E1" s="102"/>
      <c r="F1" s="102"/>
      <c r="G1" s="102"/>
      <c r="H1" s="1"/>
    </row>
    <row r="2" spans="1:8" ht="17.100000000000001" customHeight="1" x14ac:dyDescent="0.25">
      <c r="A2" s="54"/>
      <c r="B2" s="24" t="s">
        <v>13</v>
      </c>
      <c r="C2" s="99"/>
      <c r="D2" s="99"/>
      <c r="E2" s="99"/>
      <c r="F2" s="99"/>
      <c r="G2" s="99"/>
      <c r="H2" s="1"/>
    </row>
    <row r="3" spans="1:8" ht="17.100000000000001" customHeight="1" x14ac:dyDescent="0.25">
      <c r="A3" s="54"/>
      <c r="B3" s="24" t="s">
        <v>12</v>
      </c>
      <c r="C3" s="100"/>
      <c r="D3" s="100"/>
      <c r="E3" s="100"/>
      <c r="F3" s="100"/>
      <c r="G3" s="100"/>
      <c r="H3" s="1"/>
    </row>
    <row r="4" spans="1:8" ht="17.100000000000001" customHeight="1" x14ac:dyDescent="0.25">
      <c r="A4" s="54"/>
      <c r="B4" s="24" t="s">
        <v>14</v>
      </c>
      <c r="C4" s="101"/>
      <c r="D4" s="101"/>
      <c r="E4" s="101"/>
      <c r="F4" s="101"/>
      <c r="G4" s="101"/>
      <c r="H4" s="1"/>
    </row>
    <row r="5" spans="1:8" ht="17.100000000000001" customHeight="1" x14ac:dyDescent="0.25">
      <c r="A5" s="54"/>
      <c r="B5" s="24" t="s">
        <v>20</v>
      </c>
      <c r="C5" s="100"/>
      <c r="D5" s="100"/>
      <c r="E5" s="100"/>
      <c r="F5" s="100"/>
      <c r="G5" s="100"/>
      <c r="H5" s="1"/>
    </row>
    <row r="6" spans="1:8" ht="17.100000000000001" customHeight="1" x14ac:dyDescent="0.25">
      <c r="A6" s="54"/>
      <c r="B6" s="24" t="s">
        <v>85</v>
      </c>
      <c r="C6" s="101"/>
      <c r="D6" s="101"/>
      <c r="E6" s="101"/>
      <c r="F6" s="101"/>
      <c r="G6" s="101"/>
      <c r="H6" s="1"/>
    </row>
    <row r="7" spans="1:8" ht="17.100000000000001" customHeight="1" x14ac:dyDescent="0.25">
      <c r="A7" s="54"/>
      <c r="B7" s="43" t="s">
        <v>15</v>
      </c>
      <c r="C7" s="110"/>
      <c r="D7" s="110"/>
      <c r="E7" s="110"/>
      <c r="F7" s="110"/>
      <c r="G7" s="110"/>
      <c r="H7" s="2"/>
    </row>
    <row r="8" spans="1:8" ht="17.100000000000001" customHeight="1" thickBot="1" x14ac:dyDescent="0.3">
      <c r="A8" s="54"/>
      <c r="B8" s="24" t="s">
        <v>21</v>
      </c>
      <c r="C8" s="100" t="s">
        <v>27</v>
      </c>
      <c r="D8" s="100"/>
      <c r="E8" s="100"/>
      <c r="F8" s="100"/>
      <c r="G8" s="100"/>
    </row>
    <row r="9" spans="1:8" ht="27.75" customHeight="1" thickBot="1" x14ac:dyDescent="0.3">
      <c r="A9" s="54"/>
      <c r="B9" s="3"/>
      <c r="C9" s="4" t="s">
        <v>16</v>
      </c>
      <c r="D9" s="4" t="s">
        <v>17</v>
      </c>
      <c r="E9" s="18" t="s">
        <v>18</v>
      </c>
      <c r="F9" s="36"/>
      <c r="G9" s="32" t="s">
        <v>19</v>
      </c>
      <c r="H9" s="1"/>
    </row>
    <row r="10" spans="1:8" ht="22.5" customHeight="1" thickTop="1" thickBot="1" x14ac:dyDescent="0.3">
      <c r="A10" s="54">
        <v>1</v>
      </c>
      <c r="B10" s="16" t="s">
        <v>22</v>
      </c>
      <c r="C10" s="5">
        <f>COUNTIFS('Gutachtenstatistik - Rohdaten'!H:H, 3, 'Gutachtenstatistik - Rohdaten'!I:I, 1, 'Gutachtenstatistik - Rohdaten'!L:L, 2, 'Gutachtenstatistik - Rohdaten'!M:M, 1)</f>
        <v>0</v>
      </c>
      <c r="D10" s="5">
        <f>COUNTIFS('Gutachtenstatistik - Rohdaten'!H:H, 3, 'Gutachtenstatistik - Rohdaten'!I:I, 1, 'Gutachtenstatistik - Rohdaten'!L:L, 2, 'Gutachtenstatistik - Rohdaten'!M:M, 2)</f>
        <v>0</v>
      </c>
      <c r="E10" s="31">
        <f>COUNTIFS('Gutachtenstatistik - Rohdaten'!H:H, 3, 'Gutachtenstatistik - Rohdaten'!I:I, 1, 'Gutachtenstatistik - Rohdaten'!L:L, 2, 'Gutachtenstatistik - Rohdaten'!M:M, 3)</f>
        <v>0</v>
      </c>
      <c r="F10" s="35"/>
      <c r="G10" s="33">
        <f>COUNTIFS('Gutachtenstatistik - Rohdaten'!H:H, 3, 'Gutachtenstatistik - Rohdaten'!I:I, 1, 'Gutachtenstatistik - Rohdaten'!L:L, 2)</f>
        <v>0</v>
      </c>
      <c r="H10" s="15" t="str">
        <f>IF(G10=(C10+D10+E10), "Quersumme ok", "nicht korrekt")</f>
        <v>Quersumme ok</v>
      </c>
    </row>
    <row r="11" spans="1:8" ht="6.75" customHeight="1" thickBot="1" x14ac:dyDescent="0.3">
      <c r="A11" s="54"/>
      <c r="B11" s="39"/>
      <c r="C11" s="38"/>
      <c r="D11" s="38"/>
      <c r="E11" s="38"/>
      <c r="F11" s="40"/>
      <c r="G11" s="38"/>
      <c r="H11" s="15"/>
    </row>
    <row r="12" spans="1:8" ht="25.5" customHeight="1" thickBot="1" x14ac:dyDescent="0.3">
      <c r="A12" s="54"/>
      <c r="B12" s="29" t="s">
        <v>10</v>
      </c>
      <c r="C12" s="30"/>
      <c r="D12" s="30"/>
      <c r="E12" s="30"/>
      <c r="F12" s="37"/>
      <c r="G12" s="46"/>
      <c r="H12" s="15"/>
    </row>
    <row r="13" spans="1:8" ht="25.5" customHeight="1" x14ac:dyDescent="0.25">
      <c r="A13" s="54">
        <v>2</v>
      </c>
      <c r="B13" s="6" t="s">
        <v>0</v>
      </c>
      <c r="C13" s="7">
        <f>COUNTIFS('Gutachtenstatistik - Rohdaten'!H:H, 3, 'Gutachtenstatistik - Rohdaten'!I:I, 1, 'Gutachtenstatistik - Rohdaten'!K:K, 1, 'Gutachtenstatistik - Rohdaten'!L:L, 2, 'Gutachtenstatistik - Rohdaten'!M:M, 1)</f>
        <v>0</v>
      </c>
      <c r="D13" s="7">
        <f>COUNTIFS('Gutachtenstatistik - Rohdaten'!H:H, 3, 'Gutachtenstatistik - Rohdaten'!I:I, 1, 'Gutachtenstatistik - Rohdaten'!K:K, 1, 'Gutachtenstatistik - Rohdaten'!L:L, 2, 'Gutachtenstatistik - Rohdaten'!M:M, 2)</f>
        <v>0</v>
      </c>
      <c r="E13" s="19">
        <f>COUNTIFS('Gutachtenstatistik - Rohdaten'!H:H, 3, 'Gutachtenstatistik - Rohdaten'!I:I, 1, 'Gutachtenstatistik - Rohdaten'!K:K, 1, 'Gutachtenstatistik - Rohdaten'!L:L, 2, 'Gutachtenstatistik - Rohdaten'!M:M, 3)</f>
        <v>0</v>
      </c>
      <c r="F13" s="34"/>
      <c r="G13" s="47">
        <f>COUNTIFS('Gutachtenstatistik - Rohdaten'!H:H, 3, 'Gutachtenstatistik - Rohdaten'!I:I, 1, 'Gutachtenstatistik - Rohdaten'!K:K, 1, 'Gutachtenstatistik - Rohdaten'!L:L, 2)</f>
        <v>0</v>
      </c>
      <c r="H13" s="15" t="str">
        <f t="shared" ref="H13:H18" si="0">IF(G13=(C13+D13+E13), "Quersumme ok", "nicht korrekt")</f>
        <v>Quersumme ok</v>
      </c>
    </row>
    <row r="14" spans="1:8" ht="25.5" customHeight="1" x14ac:dyDescent="0.25">
      <c r="A14" s="54">
        <v>3</v>
      </c>
      <c r="B14" s="9" t="s">
        <v>9</v>
      </c>
      <c r="C14" s="10">
        <f>COUNTIFS('Gutachtenstatistik - Rohdaten'!H:H, 3, 'Gutachtenstatistik - Rohdaten'!I:I, 1, 'Gutachtenstatistik - Rohdaten'!K:K, 2, 'Gutachtenstatistik - Rohdaten'!L:L, 2, 'Gutachtenstatistik - Rohdaten'!M:M, 1)</f>
        <v>0</v>
      </c>
      <c r="D14" s="10">
        <f>COUNTIFS('Gutachtenstatistik - Rohdaten'!H:H, 3, 'Gutachtenstatistik - Rohdaten'!I:I, 1, 'Gutachtenstatistik - Rohdaten'!K:K, 2, 'Gutachtenstatistik - Rohdaten'!L:L, 2, 'Gutachtenstatistik - Rohdaten'!M:M, 2)</f>
        <v>0</v>
      </c>
      <c r="E14" s="20">
        <f>COUNTIFS('Gutachtenstatistik - Rohdaten'!H:H, 3, 'Gutachtenstatistik - Rohdaten'!I:I, 1, 'Gutachtenstatistik - Rohdaten'!K:K, 2, 'Gutachtenstatistik - Rohdaten'!L:L, 2, 'Gutachtenstatistik - Rohdaten'!M:M, 3)</f>
        <v>0</v>
      </c>
      <c r="F14" s="34"/>
      <c r="G14" s="48">
        <f>COUNTIFS('Gutachtenstatistik - Rohdaten'!H:H, 3, 'Gutachtenstatistik - Rohdaten'!I:I, 1, 'Gutachtenstatistik - Rohdaten'!K:K, 2, 'Gutachtenstatistik - Rohdaten'!L:L, 2)</f>
        <v>0</v>
      </c>
      <c r="H14" s="15" t="str">
        <f t="shared" si="0"/>
        <v>Quersumme ok</v>
      </c>
    </row>
    <row r="15" spans="1:8" ht="25.5" customHeight="1" x14ac:dyDescent="0.25">
      <c r="A15" s="54">
        <v>4</v>
      </c>
      <c r="B15" s="9" t="s">
        <v>1</v>
      </c>
      <c r="C15" s="10">
        <f>COUNTIFS('Gutachtenstatistik - Rohdaten'!H:H, 3, 'Gutachtenstatistik - Rohdaten'!I:I, 1, 'Gutachtenstatistik - Rohdaten'!K:K, 3, 'Gutachtenstatistik - Rohdaten'!L:L, 2, 'Gutachtenstatistik - Rohdaten'!M:M, 1)</f>
        <v>0</v>
      </c>
      <c r="D15" s="10">
        <f>COUNTIFS('Gutachtenstatistik - Rohdaten'!H:H, 3, 'Gutachtenstatistik - Rohdaten'!I:I, 1, 'Gutachtenstatistik - Rohdaten'!K:K, 3, 'Gutachtenstatistik - Rohdaten'!L:L, 2, 'Gutachtenstatistik - Rohdaten'!M:M, 2)</f>
        <v>0</v>
      </c>
      <c r="E15" s="20">
        <f>COUNTIFS('Gutachtenstatistik - Rohdaten'!H:H, 3, 'Gutachtenstatistik - Rohdaten'!I:I, 1, 'Gutachtenstatistik - Rohdaten'!K:K, 3, 'Gutachtenstatistik - Rohdaten'!L:L, 2, 'Gutachtenstatistik - Rohdaten'!M:M, 3)</f>
        <v>0</v>
      </c>
      <c r="F15" s="34"/>
      <c r="G15" s="48">
        <f>COUNTIFS('Gutachtenstatistik - Rohdaten'!H:H, 3, 'Gutachtenstatistik - Rohdaten'!I:I, 1, 'Gutachtenstatistik - Rohdaten'!K:K, 3, 'Gutachtenstatistik - Rohdaten'!L:L, 2)</f>
        <v>0</v>
      </c>
      <c r="H15" s="15" t="str">
        <f t="shared" si="0"/>
        <v>Quersumme ok</v>
      </c>
    </row>
    <row r="16" spans="1:8" ht="25.5" customHeight="1" x14ac:dyDescent="0.25">
      <c r="A16" s="54">
        <v>5</v>
      </c>
      <c r="B16" s="9" t="s">
        <v>2</v>
      </c>
      <c r="C16" s="10">
        <f>COUNTIFS('Gutachtenstatistik - Rohdaten'!H:H, 3, 'Gutachtenstatistik - Rohdaten'!I:I, 1, 'Gutachtenstatistik - Rohdaten'!K:K, 4, 'Gutachtenstatistik - Rohdaten'!L:L, 2, 'Gutachtenstatistik - Rohdaten'!M:M, 1)</f>
        <v>0</v>
      </c>
      <c r="D16" s="10">
        <f>COUNTIFS('Gutachtenstatistik - Rohdaten'!H:H, 3, 'Gutachtenstatistik - Rohdaten'!I:I, 1, 'Gutachtenstatistik - Rohdaten'!K:K, 4, 'Gutachtenstatistik - Rohdaten'!L:L, 2, 'Gutachtenstatistik - Rohdaten'!M:M, 2)</f>
        <v>0</v>
      </c>
      <c r="E16" s="20">
        <f>COUNTIFS('Gutachtenstatistik - Rohdaten'!H:H, 3, 'Gutachtenstatistik - Rohdaten'!I:I, 1, 'Gutachtenstatistik - Rohdaten'!K:K, 4, 'Gutachtenstatistik - Rohdaten'!L:L, 2, 'Gutachtenstatistik - Rohdaten'!M:M, 3)</f>
        <v>0</v>
      </c>
      <c r="F16" s="34"/>
      <c r="G16" s="48">
        <f>COUNTIFS('Gutachtenstatistik - Rohdaten'!H:H, 3, 'Gutachtenstatistik - Rohdaten'!I:I, 1, 'Gutachtenstatistik - Rohdaten'!K:K, 4, 'Gutachtenstatistik - Rohdaten'!L:L, 2)</f>
        <v>0</v>
      </c>
      <c r="H16" s="15" t="str">
        <f t="shared" si="0"/>
        <v>Quersumme ok</v>
      </c>
    </row>
    <row r="17" spans="1:9" ht="25.5" customHeight="1" x14ac:dyDescent="0.25">
      <c r="A17" s="54">
        <v>6</v>
      </c>
      <c r="B17" s="9" t="s">
        <v>3</v>
      </c>
      <c r="C17" s="10">
        <f>COUNTIFS('Gutachtenstatistik - Rohdaten'!H:H, 3, 'Gutachtenstatistik - Rohdaten'!I:I, 1, 'Gutachtenstatistik - Rohdaten'!K:K, 5, 'Gutachtenstatistik - Rohdaten'!L:L, 2, 'Gutachtenstatistik - Rohdaten'!M:M, 1)</f>
        <v>0</v>
      </c>
      <c r="D17" s="10">
        <f>COUNTIFS('Gutachtenstatistik - Rohdaten'!H:H, 3, 'Gutachtenstatistik - Rohdaten'!I:I, 1, 'Gutachtenstatistik - Rohdaten'!K:K, 5, 'Gutachtenstatistik - Rohdaten'!L:L, 2, 'Gutachtenstatistik - Rohdaten'!M:M, 2)</f>
        <v>0</v>
      </c>
      <c r="E17" s="20">
        <f>COUNTIFS('Gutachtenstatistik - Rohdaten'!H:H, 3, 'Gutachtenstatistik - Rohdaten'!I:I, 1, 'Gutachtenstatistik - Rohdaten'!K:K, 5, 'Gutachtenstatistik - Rohdaten'!L:L, 2, 'Gutachtenstatistik - Rohdaten'!M:M, 3)</f>
        <v>0</v>
      </c>
      <c r="F17" s="34"/>
      <c r="G17" s="48">
        <f>COUNTIFS('Gutachtenstatistik - Rohdaten'!H:H, 3, 'Gutachtenstatistik - Rohdaten'!I:I, 1, 'Gutachtenstatistik - Rohdaten'!K:K, 5, 'Gutachtenstatistik - Rohdaten'!L:L, 2)</f>
        <v>0</v>
      </c>
      <c r="H17" s="15" t="str">
        <f t="shared" si="0"/>
        <v>Quersumme ok</v>
      </c>
    </row>
    <row r="18" spans="1:9" ht="25.5" customHeight="1" thickBot="1" x14ac:dyDescent="0.3">
      <c r="A18" s="54">
        <v>7</v>
      </c>
      <c r="B18" s="11" t="s">
        <v>29</v>
      </c>
      <c r="C18" s="12">
        <f>COUNTIFS('Gutachtenstatistik - Rohdaten'!H:H, 3, 'Gutachtenstatistik - Rohdaten'!I:I, 1, 'Gutachtenstatistik - Rohdaten'!K:K, 6, 'Gutachtenstatistik - Rohdaten'!L:L, 2, 'Gutachtenstatistik - Rohdaten'!M:M, 1)</f>
        <v>0</v>
      </c>
      <c r="D18" s="12">
        <f>COUNTIFS('Gutachtenstatistik - Rohdaten'!H:H, 3, 'Gutachtenstatistik - Rohdaten'!I:I, 1, 'Gutachtenstatistik - Rohdaten'!K:K, 6, 'Gutachtenstatistik - Rohdaten'!L:L, 2, 'Gutachtenstatistik - Rohdaten'!M:M, 2)</f>
        <v>0</v>
      </c>
      <c r="E18" s="21">
        <f>COUNTIFS('Gutachtenstatistik - Rohdaten'!H:H, 3, 'Gutachtenstatistik - Rohdaten'!I:I, 1, 'Gutachtenstatistik - Rohdaten'!K:K, 6, 'Gutachtenstatistik - Rohdaten'!L:L, 2, 'Gutachtenstatistik - Rohdaten'!M:M, 3)</f>
        <v>0</v>
      </c>
      <c r="F18" s="34"/>
      <c r="G18" s="49">
        <f>COUNTIFS('Gutachtenstatistik - Rohdaten'!H:H, 3, 'Gutachtenstatistik - Rohdaten'!I:I, 1, 'Gutachtenstatistik - Rohdaten'!K:K, 6, 'Gutachtenstatistik - Rohdaten'!L:L, 2)</f>
        <v>0</v>
      </c>
      <c r="H18" s="15" t="str">
        <f t="shared" si="0"/>
        <v>Quersumme ok</v>
      </c>
    </row>
    <row r="19" spans="1:9" ht="22.5" customHeight="1" thickBot="1" x14ac:dyDescent="0.3">
      <c r="A19" s="54">
        <v>8</v>
      </c>
      <c r="B19" s="41" t="s">
        <v>8</v>
      </c>
      <c r="C19" s="25" t="str">
        <f>IF(C10=(C13+C14+C15+C16+C17+C18), "ok", "nicht korrekt")</f>
        <v>ok</v>
      </c>
      <c r="D19" s="25" t="str">
        <f>IF(D10=(D13+D14+D15+D16+D17+D18), "ok", "nicht korrekt")</f>
        <v>ok</v>
      </c>
      <c r="E19" s="25" t="str">
        <f>IF(E10=(E13+E14+E15+E16+E17+E18), "ok", "nicht korrekt")</f>
        <v>ok</v>
      </c>
      <c r="F19" s="25"/>
      <c r="G19" s="25" t="str">
        <f>IF(G10=(G13+G14+G15+G16+G17+G18), "ok", "nicht korrekt")</f>
        <v>ok</v>
      </c>
      <c r="H19" s="15"/>
    </row>
    <row r="20" spans="1:9" ht="25.5" customHeight="1" thickBot="1" x14ac:dyDescent="0.3">
      <c r="A20" s="54"/>
      <c r="B20" s="29" t="s">
        <v>11</v>
      </c>
      <c r="C20" s="30"/>
      <c r="D20" s="30"/>
      <c r="E20" s="30"/>
      <c r="F20" s="37"/>
      <c r="G20" s="46"/>
      <c r="H20" s="15"/>
    </row>
    <row r="21" spans="1:9" ht="25.5" customHeight="1" x14ac:dyDescent="0.25">
      <c r="A21" s="54">
        <v>9</v>
      </c>
      <c r="B21" s="6" t="s">
        <v>4</v>
      </c>
      <c r="C21" s="7">
        <f>COUNTIFS('Gutachtenstatistik - Rohdaten'!H:H, 3, 'Gutachtenstatistik - Rohdaten'!I:I, 1, 'Gutachtenstatistik - Rohdaten'!J:J, 1, 'Gutachtenstatistik - Rohdaten'!L:L, 2, 'Gutachtenstatistik - Rohdaten'!M:M, 1)</f>
        <v>0</v>
      </c>
      <c r="D21" s="7">
        <f>COUNTIFS('Gutachtenstatistik - Rohdaten'!H:H, 3, 'Gutachtenstatistik - Rohdaten'!I:I, 1, 'Gutachtenstatistik - Rohdaten'!J:J, 1, 'Gutachtenstatistik - Rohdaten'!L:L, 2, 'Gutachtenstatistik - Rohdaten'!M:M, 2)</f>
        <v>0</v>
      </c>
      <c r="E21" s="19">
        <f>COUNTIFS('Gutachtenstatistik - Rohdaten'!H:H, 3, 'Gutachtenstatistik - Rohdaten'!I:I, 1, 'Gutachtenstatistik - Rohdaten'!J:J, 1, 'Gutachtenstatistik - Rohdaten'!L:L, 2, 'Gutachtenstatistik - Rohdaten'!M:M, 3)</f>
        <v>0</v>
      </c>
      <c r="F21" s="34"/>
      <c r="G21" s="47">
        <f>COUNTIFS('Gutachtenstatistik - Rohdaten'!H:H, 3, 'Gutachtenstatistik - Rohdaten'!I:I, 1, 'Gutachtenstatistik - Rohdaten'!J:J, 1, 'Gutachtenstatistik - Rohdaten'!L:L, 2)</f>
        <v>0</v>
      </c>
      <c r="H21" s="15" t="str">
        <f>IF(G21=(C21+D21+E21), "Quersumme ok", "nicht korrekt")</f>
        <v>Quersumme ok</v>
      </c>
    </row>
    <row r="22" spans="1:9" ht="25.5" customHeight="1" x14ac:dyDescent="0.25">
      <c r="A22" s="54">
        <v>10</v>
      </c>
      <c r="B22" s="9" t="s">
        <v>5</v>
      </c>
      <c r="C22" s="10">
        <f>COUNTIFS('Gutachtenstatistik - Rohdaten'!H:H, 3, 'Gutachtenstatistik - Rohdaten'!I:I, 1, 'Gutachtenstatistik - Rohdaten'!J:J, 2, 'Gutachtenstatistik - Rohdaten'!L:L, 2, 'Gutachtenstatistik - Rohdaten'!M:M, 1)</f>
        <v>0</v>
      </c>
      <c r="D22" s="10">
        <f>COUNTIFS('Gutachtenstatistik - Rohdaten'!H:H, 3, 'Gutachtenstatistik - Rohdaten'!I:I, 1, 'Gutachtenstatistik - Rohdaten'!J:J, 2, 'Gutachtenstatistik - Rohdaten'!L:L, 2, 'Gutachtenstatistik - Rohdaten'!M:M, 2)</f>
        <v>0</v>
      </c>
      <c r="E22" s="20">
        <f>COUNTIFS('Gutachtenstatistik - Rohdaten'!H:H, 3, 'Gutachtenstatistik - Rohdaten'!I:I, 1, 'Gutachtenstatistik - Rohdaten'!J:J, 2, 'Gutachtenstatistik - Rohdaten'!L:L, 2, 'Gutachtenstatistik - Rohdaten'!M:M, 3)</f>
        <v>0</v>
      </c>
      <c r="F22" s="34"/>
      <c r="G22" s="48">
        <f>COUNTIFS('Gutachtenstatistik - Rohdaten'!H:H, 3, 'Gutachtenstatistik - Rohdaten'!I:I, 1, 'Gutachtenstatistik - Rohdaten'!J:J, 2, 'Gutachtenstatistik - Rohdaten'!L:L, 2)</f>
        <v>0</v>
      </c>
      <c r="H22" s="15" t="str">
        <f>IF(G22=(C22+D22+E22), "Quersumme ok", "nicht korrekt")</f>
        <v>Quersumme ok</v>
      </c>
    </row>
    <row r="23" spans="1:9" ht="25.5" customHeight="1" x14ac:dyDescent="0.25">
      <c r="A23" s="54">
        <v>11</v>
      </c>
      <c r="B23" s="9" t="s">
        <v>6</v>
      </c>
      <c r="C23" s="10">
        <f>COUNTIFS('Gutachtenstatistik - Rohdaten'!H:H, 3, 'Gutachtenstatistik - Rohdaten'!I:I, 1, 'Gutachtenstatistik - Rohdaten'!J:J, 3, 'Gutachtenstatistik - Rohdaten'!L:L, 2, 'Gutachtenstatistik - Rohdaten'!M:M, 1)</f>
        <v>0</v>
      </c>
      <c r="D23" s="10">
        <f>COUNTIFS('Gutachtenstatistik - Rohdaten'!H:H, 3, 'Gutachtenstatistik - Rohdaten'!I:I, 1, 'Gutachtenstatistik - Rohdaten'!J:J, 3, 'Gutachtenstatistik - Rohdaten'!L:L, 2, 'Gutachtenstatistik - Rohdaten'!M:M, 2)</f>
        <v>0</v>
      </c>
      <c r="E23" s="20">
        <f>COUNTIFS('Gutachtenstatistik - Rohdaten'!H:H, 3, 'Gutachtenstatistik - Rohdaten'!I:I, 1, 'Gutachtenstatistik - Rohdaten'!J:J, 3, 'Gutachtenstatistik - Rohdaten'!L:L, 2, 'Gutachtenstatistik - Rohdaten'!M:M, 3)</f>
        <v>0</v>
      </c>
      <c r="F23" s="34"/>
      <c r="G23" s="48">
        <f>COUNTIFS('Gutachtenstatistik - Rohdaten'!H:H, 3, 'Gutachtenstatistik - Rohdaten'!I:I, 1, 'Gutachtenstatistik - Rohdaten'!J:J, 3, 'Gutachtenstatistik - Rohdaten'!L:L, 2)</f>
        <v>0</v>
      </c>
      <c r="H23" s="15" t="str">
        <f>IF(G23=(C23+D23+E23), "Quersumme ok", "nicht korrekt")</f>
        <v>Quersumme ok</v>
      </c>
    </row>
    <row r="24" spans="1:9" ht="25.5" customHeight="1" thickBot="1" x14ac:dyDescent="0.3">
      <c r="A24" s="54">
        <v>12</v>
      </c>
      <c r="B24" s="11" t="s">
        <v>7</v>
      </c>
      <c r="C24" s="12">
        <f>COUNTIFS('Gutachtenstatistik - Rohdaten'!H:H, 3, 'Gutachtenstatistik - Rohdaten'!I:I, 1, 'Gutachtenstatistik - Rohdaten'!J:J, 4, 'Gutachtenstatistik - Rohdaten'!L:L, 2, 'Gutachtenstatistik - Rohdaten'!M:M, 1)</f>
        <v>0</v>
      </c>
      <c r="D24" s="12">
        <f>COUNTIFS('Gutachtenstatistik - Rohdaten'!H:H, 3, 'Gutachtenstatistik - Rohdaten'!I:I, 1, 'Gutachtenstatistik - Rohdaten'!J:J, 4, 'Gutachtenstatistik - Rohdaten'!L:L, 2, 'Gutachtenstatistik - Rohdaten'!M:M, 2)</f>
        <v>0</v>
      </c>
      <c r="E24" s="21">
        <f>COUNTIFS('Gutachtenstatistik - Rohdaten'!H:H, 3, 'Gutachtenstatistik - Rohdaten'!I:I, 1, 'Gutachtenstatistik - Rohdaten'!J:J, 4, 'Gutachtenstatistik - Rohdaten'!L:L, 2, 'Gutachtenstatistik - Rohdaten'!M:M, 3)</f>
        <v>0</v>
      </c>
      <c r="F24" s="34"/>
      <c r="G24" s="49">
        <f>COUNTIFS('Gutachtenstatistik - Rohdaten'!H:H, 3, 'Gutachtenstatistik - Rohdaten'!I:I, 1, 'Gutachtenstatistik - Rohdaten'!J:J, 4, 'Gutachtenstatistik - Rohdaten'!L:L, 2)</f>
        <v>0</v>
      </c>
      <c r="H24" s="15" t="str">
        <f>IF(G24=(C24+D24+E24), "Quersumme ok", "nicht korrekt")</f>
        <v>Quersumme ok</v>
      </c>
    </row>
    <row r="25" spans="1:9" ht="23.25" customHeight="1" thickBot="1" x14ac:dyDescent="0.3">
      <c r="A25" s="54">
        <v>13</v>
      </c>
      <c r="B25" s="41" t="s">
        <v>8</v>
      </c>
      <c r="C25" s="25" t="str">
        <f>IF(C10=(C21+C22+C23+C24), "ok", "nicht korrekt")</f>
        <v>ok</v>
      </c>
      <c r="D25" s="25" t="str">
        <f>IF(D10=(D21+D22+D23+D24), "ok", "nicht korrekt")</f>
        <v>ok</v>
      </c>
      <c r="E25" s="25" t="str">
        <f>IF(E10=(E21+E22+E23+E24), "ok", "nicht korrekt")</f>
        <v>ok</v>
      </c>
      <c r="F25" s="25"/>
      <c r="G25" s="25" t="str">
        <f>IF(G10=(G21+G22+G23+G24), "ok", "nicht korrekt")</f>
        <v>ok</v>
      </c>
      <c r="H25" s="15"/>
    </row>
    <row r="26" spans="1:9" ht="25.5" customHeight="1" thickTop="1" thickBot="1" x14ac:dyDescent="0.3">
      <c r="A26" s="54">
        <v>14</v>
      </c>
      <c r="B26" s="44" t="s">
        <v>92</v>
      </c>
      <c r="C26" s="26">
        <f>COUNTIFS('Gutachtenstatistik - Rohdaten'!H:H, 3, 'Gutachtenstatistik - Rohdaten'!I:I, 1, 'Gutachtenstatistik - Rohdaten'!L:L, 1, 'Gutachtenstatistik - Rohdaten'!M:M, 1)</f>
        <v>0</v>
      </c>
      <c r="D26" s="8">
        <f>COUNTIFS('Gutachtenstatistik - Rohdaten'!H:H, 3, 'Gutachtenstatistik - Rohdaten'!I:I, 1, 'Gutachtenstatistik - Rohdaten'!L:L, 1, 'Gutachtenstatistik - Rohdaten'!M:M, 2)</f>
        <v>0</v>
      </c>
      <c r="E26" s="22">
        <f>COUNTIFS('Gutachtenstatistik - Rohdaten'!H:H, 3, 'Gutachtenstatistik - Rohdaten'!I:I, 1, 'Gutachtenstatistik - Rohdaten'!L:L, 1, 'Gutachtenstatistik - Rohdaten'!M:M, 3)</f>
        <v>0</v>
      </c>
      <c r="F26" s="42"/>
      <c r="G26" s="50">
        <f>COUNTIFS('Gutachtenstatistik - Rohdaten'!H:H, 3, 'Gutachtenstatistik - Rohdaten'!I:I, 1, 'Gutachtenstatistik - Rohdaten'!L:L, 1)</f>
        <v>0</v>
      </c>
      <c r="H26" s="15" t="str">
        <f>IF(G26=(C26+D26+E26), "Quersumme ok", "nicht korrekt")</f>
        <v>Quersumme ok</v>
      </c>
    </row>
    <row r="27" spans="1:9" ht="15.75" customHeight="1" thickTop="1" thickBot="1" x14ac:dyDescent="0.3">
      <c r="A27" s="54"/>
      <c r="B27" s="45" t="s">
        <v>98</v>
      </c>
      <c r="C27" s="89"/>
      <c r="D27" s="90"/>
      <c r="E27" s="28"/>
      <c r="F27" s="17"/>
      <c r="G27" s="28"/>
      <c r="H27" s="15"/>
    </row>
    <row r="28" spans="1:9" ht="39" customHeight="1" thickBot="1" x14ac:dyDescent="0.3">
      <c r="A28" s="54"/>
      <c r="B28" s="113" t="s">
        <v>123</v>
      </c>
      <c r="C28" s="114"/>
      <c r="D28" s="91" t="s">
        <v>121</v>
      </c>
      <c r="E28" s="92" t="s">
        <v>122</v>
      </c>
      <c r="F28" s="27"/>
      <c r="G28" s="27"/>
      <c r="H28" s="98" t="s">
        <v>129</v>
      </c>
    </row>
    <row r="29" spans="1:9" ht="30" customHeight="1" x14ac:dyDescent="0.25">
      <c r="A29" s="54">
        <v>15</v>
      </c>
      <c r="B29" s="115" t="s">
        <v>126</v>
      </c>
      <c r="C29" s="116"/>
      <c r="D29" s="93">
        <f>SUMIFS('Gutachtenstatistik - Rohdaten'!N:N, 'Gutachtenstatistik - Rohdaten'!H:H, 3, 'Gutachtenstatistik - Rohdaten'!I:I, 1)</f>
        <v>0</v>
      </c>
      <c r="E29" s="94">
        <f>SUMIFS('Gutachtenstatistik - Rohdaten'!O:O, 'Gutachtenstatistik - Rohdaten'!H:H, 3, 'Gutachtenstatistik - Rohdaten'!I:I, 1)</f>
        <v>0</v>
      </c>
      <c r="F29" s="14"/>
      <c r="G29" s="83" t="str">
        <f>IF(E29&lt;=D29, "ok", "nicht korrekt; Anzahl der beantragten TE muss gleich oder größer sein als die Anzahl der befürworteten TE")</f>
        <v>ok</v>
      </c>
      <c r="H29" s="97" t="e">
        <f>E29/D29</f>
        <v>#DIV/0!</v>
      </c>
    </row>
    <row r="30" spans="1:9" ht="26.25" customHeight="1" thickBot="1" x14ac:dyDescent="0.3">
      <c r="A30" s="54">
        <v>16</v>
      </c>
      <c r="B30" s="117" t="s">
        <v>127</v>
      </c>
      <c r="C30" s="118"/>
      <c r="D30" s="95">
        <f>SUMIFS('Gutachtenstatistik - Rohdaten'!P:P, 'Gutachtenstatistik - Rohdaten'!H:H, 3, 'Gutachtenstatistik - Rohdaten'!I:I, 1)</f>
        <v>0</v>
      </c>
      <c r="E30" s="96">
        <f>SUMIFS('Gutachtenstatistik - Rohdaten'!Q:Q, 'Gutachtenstatistik - Rohdaten'!H:H, 3, 'Gutachtenstatistik - Rohdaten'!I:I, 1)</f>
        <v>0</v>
      </c>
      <c r="F30" s="17"/>
      <c r="G30" s="83" t="str">
        <f>IF(E30&lt;=D30, "ok", "nicht korrekt; Anzahl der beantragten TE muss gleich oder größer sein als die Anzahl der befürworteten TE")</f>
        <v>ok</v>
      </c>
      <c r="H30" s="97" t="e">
        <f>E30/D30</f>
        <v>#DIV/0!</v>
      </c>
    </row>
    <row r="31" spans="1:9" ht="7.5" customHeight="1" x14ac:dyDescent="0.25">
      <c r="A31" s="54"/>
      <c r="B31" s="51"/>
      <c r="C31" s="51"/>
      <c r="D31" s="52"/>
      <c r="E31" s="17"/>
      <c r="F31" s="17"/>
      <c r="G31" s="13"/>
      <c r="H31" s="1"/>
    </row>
    <row r="32" spans="1:9" ht="45.75" customHeight="1" x14ac:dyDescent="0.25">
      <c r="B32" s="105" t="s">
        <v>128</v>
      </c>
      <c r="C32" s="106"/>
      <c r="D32" s="106"/>
      <c r="E32" s="106"/>
      <c r="F32" s="106"/>
      <c r="G32" s="107"/>
      <c r="H32" s="1"/>
      <c r="I32" s="23"/>
    </row>
    <row r="33" spans="2:8" customFormat="1" ht="28.35" customHeight="1" x14ac:dyDescent="0.25">
      <c r="B33" s="1"/>
      <c r="C33" s="1"/>
      <c r="D33" s="1"/>
      <c r="E33" s="1"/>
      <c r="F33" s="1"/>
      <c r="G33" s="1"/>
      <c r="H33" s="1"/>
    </row>
    <row r="34" spans="2:8" customFormat="1" ht="28.35" customHeight="1" x14ac:dyDescent="0.25">
      <c r="B34" s="1"/>
      <c r="C34" s="1"/>
      <c r="D34" s="1"/>
      <c r="E34" s="1"/>
      <c r="F34" s="1"/>
      <c r="G34" s="1"/>
      <c r="H34" s="1"/>
    </row>
    <row r="35" spans="2:8" customFormat="1" ht="27.75" customHeight="1" x14ac:dyDescent="0.25">
      <c r="B35" s="1"/>
      <c r="C35" s="1"/>
      <c r="D35" s="1"/>
      <c r="E35" s="1"/>
      <c r="F35" s="1"/>
      <c r="G35" s="1"/>
      <c r="H35" s="1"/>
    </row>
    <row r="36" spans="2:8" customFormat="1" ht="28.35" customHeight="1" x14ac:dyDescent="0.25">
      <c r="B36" s="1"/>
      <c r="C36" s="1"/>
      <c r="D36" s="1"/>
      <c r="E36" s="1"/>
      <c r="F36" s="1"/>
      <c r="G36" s="1"/>
      <c r="H36" s="1"/>
    </row>
    <row r="37" spans="2:8" customFormat="1" ht="17.100000000000001" customHeight="1" x14ac:dyDescent="0.25">
      <c r="B37" s="1"/>
      <c r="C37" s="1"/>
      <c r="D37" s="1"/>
      <c r="E37" s="1"/>
      <c r="F37" s="1"/>
      <c r="G37" s="1"/>
      <c r="H37" s="1"/>
    </row>
    <row r="38" spans="2:8" customFormat="1" ht="27" customHeight="1" x14ac:dyDescent="0.25">
      <c r="B38" s="1"/>
      <c r="C38" s="1"/>
      <c r="D38" s="1"/>
      <c r="E38" s="1"/>
      <c r="F38" s="1"/>
      <c r="G38" s="1"/>
      <c r="H38" s="1"/>
    </row>
    <row r="39" spans="2:8" customFormat="1" ht="27" customHeight="1" x14ac:dyDescent="0.25">
      <c r="B39" s="1"/>
      <c r="C39" s="1"/>
      <c r="D39" s="1"/>
      <c r="E39" s="1"/>
      <c r="F39" s="1"/>
      <c r="G39" s="1"/>
      <c r="H39" s="1"/>
    </row>
    <row r="40" spans="2:8" customFormat="1" ht="27" customHeight="1" x14ac:dyDescent="0.25">
      <c r="B40" s="1"/>
      <c r="C40" s="1"/>
      <c r="D40" s="1"/>
      <c r="E40" s="1"/>
      <c r="F40" s="1"/>
      <c r="G40" s="1"/>
      <c r="H40" s="1"/>
    </row>
    <row r="41" spans="2:8" customFormat="1" x14ac:dyDescent="0.25">
      <c r="B41" s="1"/>
      <c r="C41" s="1"/>
      <c r="D41" s="1"/>
      <c r="E41" s="1"/>
      <c r="F41" s="1"/>
      <c r="G41" s="1"/>
      <c r="H41" s="1"/>
    </row>
    <row r="42" spans="2:8" customFormat="1" x14ac:dyDescent="0.25">
      <c r="B42" s="1"/>
      <c r="C42" s="1"/>
      <c r="D42" s="1"/>
      <c r="E42" s="1"/>
      <c r="F42" s="1"/>
      <c r="G42" s="1"/>
      <c r="H42" s="1"/>
    </row>
    <row r="43" spans="2:8" customFormat="1" x14ac:dyDescent="0.25">
      <c r="B43" s="1"/>
      <c r="C43" s="1"/>
      <c r="D43" s="1"/>
      <c r="E43" s="1"/>
      <c r="F43" s="1"/>
      <c r="G43" s="1"/>
      <c r="H43" s="1"/>
    </row>
    <row r="44" spans="2:8" customFormat="1" x14ac:dyDescent="0.25">
      <c r="B44" s="1"/>
      <c r="C44" s="1"/>
      <c r="D44" s="1"/>
      <c r="E44" s="1"/>
      <c r="F44" s="1"/>
      <c r="G44" s="1"/>
      <c r="H44" s="1"/>
    </row>
    <row r="45" spans="2:8" customFormat="1" x14ac:dyDescent="0.25">
      <c r="B45" s="1"/>
      <c r="C45" s="1"/>
      <c r="D45" s="1"/>
      <c r="E45" s="1"/>
      <c r="F45" s="1"/>
      <c r="G45" s="1"/>
      <c r="H45" s="1"/>
    </row>
    <row r="46" spans="2:8" customFormat="1" x14ac:dyDescent="0.25">
      <c r="B46" s="1"/>
      <c r="C46" s="1"/>
      <c r="D46" s="1"/>
      <c r="E46" s="1"/>
      <c r="F46" s="1"/>
      <c r="G46" s="1"/>
      <c r="H46" s="1"/>
    </row>
  </sheetData>
  <mergeCells count="12">
    <mergeCell ref="C7:G7"/>
    <mergeCell ref="B28:C28"/>
    <mergeCell ref="B29:C29"/>
    <mergeCell ref="B30:C30"/>
    <mergeCell ref="B32:G32"/>
    <mergeCell ref="C8:G8"/>
    <mergeCell ref="C6:G6"/>
    <mergeCell ref="B1:G1"/>
    <mergeCell ref="C2:G2"/>
    <mergeCell ref="C3:G3"/>
    <mergeCell ref="C4:G4"/>
    <mergeCell ref="C5:G5"/>
  </mergeCells>
  <pageMargins left="0.25" right="0.25" top="0.75" bottom="0.75" header="0.3" footer="0.3"/>
  <pageSetup paperSize="9" orientation="portrait" r:id="rId1"/>
  <headerFooter>
    <oddHeader>&amp;C&amp;"-,Fett"&amp;14GUTACHTENSTATISTIK</oddHeader>
    <oddFooter>&amp;L&amp;9Seite &amp;P von &amp;N /  KBV  /  Gutachterstatistik Auswertungsmatrix  / Juli 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file>

<file path=customXml/item2.xml><?xml version="1.0" encoding="utf-8"?>
<?mso-contentType ?>
<SharedContentType xmlns="Microsoft.SharePoint.Taxonomy.ContentTypeSync" SourceId="a468ff1c-9786-4b3f-ace7-70b4d19111aa" ContentTypeId="0x0101005D5051F0A3B8934BA826E0C23E258EED" PreviousValue="false"/>
</file>

<file path=customXml/item3.xml><?xml version="1.0" encoding="utf-8"?>
<ct:contentTypeSchema xmlns:ct="http://schemas.microsoft.com/office/2006/metadata/contentType" xmlns:ma="http://schemas.microsoft.com/office/2006/metadata/properties/metaAttributes" ct:_="" ma:_="" ma:contentTypeName="KBV-Dokument" ma:contentTypeID="0x0101005D5051F0A3B8934BA826E0C23E258EED00E3709EA11653FC4CA9570A1FB0AB2F1B" ma:contentTypeVersion="18" ma:contentTypeDescription="KBV Dokument mit Metadaten" ma:contentTypeScope="" ma:versionID="d61f39135dd7493945ddab89c3526aae">
  <xsd:schema xmlns:xsd="http://www.w3.org/2001/XMLSchema" xmlns:xs="http://www.w3.org/2001/XMLSchema" xmlns:p="http://schemas.microsoft.com/office/2006/metadata/properties" xmlns:ns2="23222bb1-1ec1-437b-96ee-5426fa3bcc19" targetNamespace="http://schemas.microsoft.com/office/2006/metadata/properties" ma:root="true" ma:fieldsID="8a80203767717e4964c24d70b68e7244" ns2:_="">
    <xsd:import namespace="23222bb1-1ec1-437b-96ee-5426fa3bcc19"/>
    <xsd:element name="properties">
      <xsd:complexType>
        <xsd:sequence>
          <xsd:element name="documentManagement">
            <xsd:complexType>
              <xsd:all>
                <xsd:element ref="ns2:_dlc_DocId" minOccurs="0"/>
                <xsd:element ref="ns2:_dlc_DocIdUrl" minOccurs="0"/>
                <xsd:element ref="ns2:_dlc_DocIdPersistId" minOccurs="0"/>
                <xsd:element ref="ns2:KBV-Kurztitel" minOccurs="0"/>
                <xsd:element ref="ns2:ef541a813ab444cd914f0cab884cf7b0" minOccurs="0"/>
                <xsd:element ref="ns2:TaxCatchAll" minOccurs="0"/>
                <xsd:element ref="ns2:TaxCatchAllLabel" minOccurs="0"/>
                <xsd:element ref="ns2:KBV-Dokumentdatum"/>
                <xsd:element ref="ns2:KBV-Datum_x0020_des_x0020_Beschlusses" minOccurs="0"/>
                <xsd:element ref="ns2:KBV-Datum_x0020_der_x0020_Veröffentlichung" minOccurs="0"/>
                <xsd:element ref="ns2:KBV-Datum_x0020_des_x0020_in_x0020_Kraft_x0020_tretens" minOccurs="0"/>
                <xsd:element ref="ns2:KBV-gültig_x0020_bis" minOccurs="0"/>
                <xsd:element ref="ns2:e5fbfbdd83d34b29b34ce1bffc2952db" minOccurs="0"/>
                <xsd:element ref="ns2:KBV-Quelle" minOccurs="0"/>
                <xsd:element ref="ns2:KBV-Zusammenfassung" minOccurs="0"/>
                <xsd:element ref="ns2:KBV-Version" minOccurs="0"/>
                <xsd:element ref="ns2:KBV-Dokumentnumm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222bb1-1ec1-437b-96ee-5426fa3bcc19"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dexed="true"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element name="KBV-Kurztitel" ma:index="11" nillable="true" ma:displayName="KBV-Kurztitel" ma:indexed="true" ma:internalName="KBV_x002d_Kurztitel">
      <xsd:simpleType>
        <xsd:restriction base="dms:Text">
          <xsd:maxLength value="255"/>
        </xsd:restriction>
      </xsd:simpleType>
    </xsd:element>
    <xsd:element name="ef541a813ab444cd914f0cab884cf7b0" ma:index="12" ma:taxonomy="true" ma:internalName="ef541a813ab444cd914f0cab884cf7b0" ma:taxonomyFieldName="KBV_x002d_Autor" ma:displayName="KBV-Autor" ma:readOnly="false" ma:default="" ma:fieldId="{ef541a81-3ab4-44cd-914f-0cab884cf7b0}" ma:taxonomyMulti="true" ma:sspId="a468ff1c-9786-4b3f-ace7-70b4d19111aa" ma:termSetId="efdd8656-737c-48c1-9fc4-a0b5f8aa8273" ma:anchorId="00000000-0000-0000-0000-000000000000" ma:open="false" ma:isKeyword="false">
      <xsd:complexType>
        <xsd:sequence>
          <xsd:element ref="pc:Terms" minOccurs="0" maxOccurs="1"/>
        </xsd:sequence>
      </xsd:complexType>
    </xsd:element>
    <xsd:element name="TaxCatchAll" ma:index="13" nillable="true" ma:displayName="Taxonomiespalte &quot;Alle abfangen&quot;" ma:hidden="true" ma:list="{8e3b9e38-5634-4630-97ef-4aa6c31afad2}" ma:internalName="TaxCatchAll" ma:showField="CatchAllData" ma:web="0d305574-d48e-49d4-a51b-3be0da0c6031">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iespalte &quot;Alle abfangen&quot;1" ma:hidden="true" ma:list="{8e3b9e38-5634-4630-97ef-4aa6c31afad2}" ma:internalName="TaxCatchAllLabel" ma:readOnly="true" ma:showField="CatchAllDataLabel" ma:web="0d305574-d48e-49d4-a51b-3be0da0c6031">
      <xsd:complexType>
        <xsd:complexContent>
          <xsd:extension base="dms:MultiChoiceLookup">
            <xsd:sequence>
              <xsd:element name="Value" type="dms:Lookup" maxOccurs="unbounded" minOccurs="0" nillable="true"/>
            </xsd:sequence>
          </xsd:extension>
        </xsd:complexContent>
      </xsd:complexType>
    </xsd:element>
    <xsd:element name="KBV-Dokumentdatum" ma:index="16" ma:displayName="KBV-Dokumentdatum" ma:default="[today]" ma:format="DateOnly" ma:indexed="true" ma:internalName="KBV_x002d_Dokumentdatum" ma:readOnly="false">
      <xsd:simpleType>
        <xsd:restriction base="dms:DateTime"/>
      </xsd:simpleType>
    </xsd:element>
    <xsd:element name="KBV-Datum_x0020_des_x0020_Beschlusses" ma:index="17" nillable="true" ma:displayName="KBV-Datum des Beschlusses" ma:format="DateOnly" ma:indexed="true" ma:internalName="KBV_x002d_Datum_x0020_des_x0020_Beschlusses">
      <xsd:simpleType>
        <xsd:restriction base="dms:DateTime"/>
      </xsd:simpleType>
    </xsd:element>
    <xsd:element name="KBV-Datum_x0020_der_x0020_Veröffentlichung" ma:index="18" nillable="true" ma:displayName="KBV-Datum der Veröffentlichung" ma:format="DateOnly" ma:indexed="true" ma:internalName="KBV_x002d_Datum_x0020_der_x0020_Ver_x00f6_ffentlichung">
      <xsd:simpleType>
        <xsd:restriction base="dms:DateTime"/>
      </xsd:simpleType>
    </xsd:element>
    <xsd:element name="KBV-Datum_x0020_des_x0020_in_x0020_Kraft_x0020_tretens" ma:index="19" nillable="true" ma:displayName="KBV-Datum des in Kraft tretens" ma:format="DateOnly" ma:indexed="true" ma:internalName="KBV_x002d_Datum_x0020_des_x0020_in_x0020_Kraft_x0020_tretens">
      <xsd:simpleType>
        <xsd:restriction base="dms:DateTime"/>
      </xsd:simpleType>
    </xsd:element>
    <xsd:element name="KBV-gültig_x0020_bis" ma:index="20" nillable="true" ma:displayName="KBV-Gültig bis" ma:format="DateOnly" ma:indexed="true" ma:internalName="KBV_x002d_g_x00fc_ltig_x0020_bis" ma:readOnly="false">
      <xsd:simpleType>
        <xsd:restriction base="dms:DateTime"/>
      </xsd:simpleType>
    </xsd:element>
    <xsd:element name="e5fbfbdd83d34b29b34ce1bffc2952db" ma:index="21" ma:taxonomy="true" ma:internalName="e5fbfbdd83d34b29b34ce1bffc2952db" ma:taxonomyFieldName="KBV_x002d_Dokumentart" ma:displayName="KBV-Dokumentart" ma:indexed="true" ma:readOnly="false" ma:default="" ma:fieldId="{e5fbfbdd-83d3-4b29-b34c-e1bffc2952db}" ma:sspId="a468ff1c-9786-4b3f-ace7-70b4d19111aa" ma:termSetId="33299c91-a1e8-4199-a1c2-9dd6df2da990" ma:anchorId="00000000-0000-0000-0000-000000000000" ma:open="false" ma:isKeyword="false">
      <xsd:complexType>
        <xsd:sequence>
          <xsd:element ref="pc:Terms" minOccurs="0" maxOccurs="1"/>
        </xsd:sequence>
      </xsd:complexType>
    </xsd:element>
    <xsd:element name="KBV-Quelle" ma:index="23" nillable="true" ma:displayName="KBV-Quelle" ma:internalName="KBV_x002d_Quelle">
      <xsd:simpleType>
        <xsd:restriction base="dms:Note">
          <xsd:maxLength value="255"/>
        </xsd:restriction>
      </xsd:simpleType>
    </xsd:element>
    <xsd:element name="KBV-Zusammenfassung" ma:index="24" nillable="true" ma:displayName="KBV-Zusammenfassung" ma:internalName="KBV_x002d_Zusammenfassung">
      <xsd:simpleType>
        <xsd:restriction base="dms:Note">
          <xsd:maxLength value="255"/>
        </xsd:restriction>
      </xsd:simpleType>
    </xsd:element>
    <xsd:element name="KBV-Version" ma:index="25" nillable="true" ma:displayName="KBV-Version" ma:indexed="true" ma:internalName="KBV_x002d_Version">
      <xsd:simpleType>
        <xsd:restriction base="dms:Text">
          <xsd:maxLength value="13"/>
        </xsd:restriction>
      </xsd:simpleType>
    </xsd:element>
    <xsd:element name="KBV-Dokumentnummer" ma:index="26" nillable="true" ma:displayName="KBV-Dokumentnummer" ma:indexed="true" ma:internalName="KBV_x002d_Dokumentnumm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npInfo xmlns="https://www.novapath.de/xmlns">eyJjb250ZW50Ijoie1widmVyc2lvblwiOntcImNvbnRlbnRcIjp7XCJmb3JtYXRcIjo0LFwiYXBwbGljYXRpb25cIjpcIjYuOC41LjE1OTkzXCIsXCJjbGllbnRUeXBlXCI6bnVsbH0sXCJsYXN0VXBkYXRlXCI6MTcyMDQzNzIzMCxcInRlbmFudElkXCI6XCI5RENCMzRBRS1FMEE5LTQxNDQtQkE3NC04QTFCQ0E1QUM5QTVcIixcImNsaWVudElkXCI6XCJidDV4bXN0NXI4OTduemU4eHNpcDUwYTc1NzRiejQwdFwifSxcImRvY3VtZW50XCI6e1wiY29udGVudFwiOntcImlkXCI6XCJSNkVSRFRVNDdaOE83UEVDMzNXRzFYR1JIT1wiLFwicHJldmlvdXNJZFwiOlwiVEdUWllCQVdEMjdHWU1QMEdSTU0xUkNCNkNcIixcInBhdGhcIjpcIkN0Rmt4a0pKalhYYjdJMndEa3YxNlZMWTlvTmg3VUdkcTQybzFlR2VIcWNLbkEvYWQ0N3JxcnFBaDFWTVg5eERVYWFwRU9vQndHeDdOam40V0VjL3JBPT1cIixcImRlbGV0ZUFmdGVyRGF0ZVwiOm51bGwsXCJvcmlnaW5hbEFwcGxpY2F0aW9uXCI6XCJFeGNlbFwiLFwiZmxhZ3NcIjpbMF19LFwibGFzdFVwZGF0ZVwiOjE3MjA3NzYyMDIsXCJ0ZW5hbnRJZFwiOlwiOURDQjM0QUUtRTBBOS00MTQ0LUJBNzQtOEExQkNBNUFDOUE1XCIsXCJjbGllbnRJZFwiOlwiYnQ1eG1zdDVyODk3bnplOHhzaXA1MGE3NTc0Yno0MHRcIn0sXCJjb25maWRlbnRpYWxpdHlcIjp7XCJjb250ZW50XCI6e1widGVuYW50SWRcIjpcIjlEQ0IzNEFFLUUwQTktNDE0NC1CQTc0LThBMUJDQTVBQzlBNVwiLFwicmVmZXJlbmNlSWRcIjpcIjlCQTIxN0U4OUNGRDQ5QUJBNUIwMjExNDYxODYzNEFEXCIsXCJjYXRlZ29yeU5hbWVcIjp7fSxcIm5hbWVcIjp7XCJERUZBVUxUXCI6XCJFeHRlcm4tVmVydHJhdWxpY2hcIixcIkRFXCI6XCJFeHRlcm4tVmVydHJhdWxpY2hcIn0sXCJmbGFnc1wiOltdfSxcImxhc3RVcGRhdGVcIjoxNzIwNDM3MjMwLFwidGVuYW50SWRcIjpcIjlEQ0IzNEFFLUUwQTktNDE0NC1CQTc0LThBMUJDQTVBQzlBNVwiLFwiY2xpZW50SWRcIjpcImJ0NXhtc3Q1cjg5N256ZTh4c2lwNTBhNzU3NGJ6NDB0XCJ9LFwic2VjdXJpdHlcIjp7XCJjb250ZW50XCI6e1wic2V2ZXJpdHlcIjozMDAwLFwiZGxwSW5mb1wiOlwiXCIsXCJzZWN1cml0eUZsYWdzXCI6W119LFwibGFzdFVwZGF0ZVwiOjE3MjA0MzcyMzAsXCJ0ZW5hbnRJZFwiOlwiOURDQjM0QUUtRTBBOS00MTQ0LUJBNzQtOEExQkNBNUFDOUE1XCIsXCJjbGllbnRJZFwiOlwiYnQ1eG1zdDVyODk3bnplOHhzaXA1MGE3NTc0Yno0MHRcIn0sXCJtYXJraW5nXCI6e1wiY29udGVudFwiOntcImNvbG9yXCI6XCIjZmY5Njk2XCJ9LFwibGFzdFVwZGF0ZVwiOjE3MjA0MzcyMzAsXCJ0ZW5hbnRJZFwiOlwiOURDQjM0QUUtRTBBOS00MTQ0LUJBNzQtOEExQkNBNUFDOUE1XCIsXCJjbGllbnRJZFwiOlwiYnQ1eG1zdDVyODk3bnplOHhzaXA1MGE3NTc0Yno0MHRcIn19Iiwic2lnbmF0dXJlIjoiblcrVi95UTRybmpQV21pMUlmSTZ1UUpsbE0vZm04TkxTMGw5MVcrZkhUaFVFK095T2xZbnZTTmo2blpJblNTZXllcEFSSGRkMGh5RkZrZURQdktaQ1E9PSJ9</npInfo>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ef541a813ab444cd914f0cab884cf7b0 xmlns="23222bb1-1ec1-437b-96ee-5426fa3bcc19">
      <Terms xmlns="http://schemas.microsoft.com/office/infopath/2007/PartnerControls">
        <TermInfo xmlns="http://schemas.microsoft.com/office/infopath/2007/PartnerControls">
          <TermName xmlns="http://schemas.microsoft.com/office/infopath/2007/PartnerControls">Kassenärztliche Bundesvereinigung (KBV)</TermName>
          <TermId xmlns="http://schemas.microsoft.com/office/infopath/2007/PartnerControls">b5d5ddec-5cdb-4b65-a16a-fefc65dbfb2c</TermId>
        </TermInfo>
      </Terms>
    </ef541a813ab444cd914f0cab884cf7b0>
    <KBV-Kurztitel xmlns="23222bb1-1ec1-437b-96ee-5426fa3bcc19" xsi:nil="true"/>
    <KBV-Datum_x0020_des_x0020_Beschlusses xmlns="23222bb1-1ec1-437b-96ee-5426fa3bcc19" xsi:nil="true"/>
    <KBV-Datum_x0020_der_x0020_Veröffentlichung xmlns="23222bb1-1ec1-437b-96ee-5426fa3bcc19" xsi:nil="true"/>
    <KBV-Dokumentdatum xmlns="23222bb1-1ec1-437b-96ee-5426fa3bcc19">2024-06-30T22:00:00+00:00</KBV-Dokumentdatum>
    <KBV-gültig_x0020_bis xmlns="23222bb1-1ec1-437b-96ee-5426fa3bcc19" xsi:nil="true"/>
    <e5fbfbdd83d34b29b34ce1bffc2952db xmlns="23222bb1-1ec1-437b-96ee-5426fa3bcc19">
      <Terms xmlns="http://schemas.microsoft.com/office/infopath/2007/PartnerControls">
        <TermInfo xmlns="http://schemas.microsoft.com/office/infopath/2007/PartnerControls">
          <TermName xmlns="http://schemas.microsoft.com/office/infopath/2007/PartnerControls">Veröffentlichung</TermName>
          <TermId xmlns="http://schemas.microsoft.com/office/infopath/2007/PartnerControls">8910a6ef-ed27-45f8-a9f8-506037a20563</TermId>
        </TermInfo>
      </Terms>
    </e5fbfbdd83d34b29b34ce1bffc2952db>
    <KBV-Datum_x0020_des_x0020_in_x0020_Kraft_x0020_tretens xmlns="23222bb1-1ec1-437b-96ee-5426fa3bcc19" xsi:nil="true"/>
    <TaxCatchAll xmlns="23222bb1-1ec1-437b-96ee-5426fa3bcc19">
      <Value>9</Value>
      <Value>7</Value>
    </TaxCatchAll>
    <KBV-Quelle xmlns="23222bb1-1ec1-437b-96ee-5426fa3bcc19" xsi:nil="true"/>
    <KBV-Zusammenfassung xmlns="23222bb1-1ec1-437b-96ee-5426fa3bcc19" xsi:nil="true"/>
    <KBV-Dokumentnummer xmlns="23222bb1-1ec1-437b-96ee-5426fa3bcc19" xsi:nil="true"/>
    <KBV-Version xmlns="23222bb1-1ec1-437b-96ee-5426fa3bcc19" xsi:nil="true"/>
  </documentManagement>
</p:properties>
</file>

<file path=customXml/itemProps1.xml><?xml version="1.0" encoding="utf-8"?>
<ds:datastoreItem xmlns:ds="http://schemas.openxmlformats.org/officeDocument/2006/customXml" ds:itemID="{DCCC4A3E-CCFA-410A-835B-C44CFF118075}"/>
</file>

<file path=customXml/itemProps2.xml><?xml version="1.0" encoding="utf-8"?>
<ds:datastoreItem xmlns:ds="http://schemas.openxmlformats.org/officeDocument/2006/customXml" ds:itemID="{A6E8C28E-5E6D-495E-A89D-7567B92FB0E6}"/>
</file>

<file path=customXml/itemProps3.xml><?xml version="1.0" encoding="utf-8"?>
<ds:datastoreItem xmlns:ds="http://schemas.openxmlformats.org/officeDocument/2006/customXml" ds:itemID="{05B6ABC5-F4BF-4D9E-B0CD-458A42868F7E}"/>
</file>

<file path=customXml/itemProps4.xml><?xml version="1.0" encoding="utf-8"?>
<ds:datastoreItem xmlns:ds="http://schemas.openxmlformats.org/officeDocument/2006/customXml" ds:itemID="{A8E5B7FF-AAE6-408B-80C8-FC1EF4FD3A9D}"/>
</file>

<file path=customXml/itemProps5.xml><?xml version="1.0" encoding="utf-8"?>
<ds:datastoreItem xmlns:ds="http://schemas.openxmlformats.org/officeDocument/2006/customXml" ds:itemID="{2EB3093C-668F-4E85-88C9-E823AD3FFEE2}"/>
</file>

<file path=customXml/itemProps6.xml><?xml version="1.0" encoding="utf-8"?>
<ds:datastoreItem xmlns:ds="http://schemas.openxmlformats.org/officeDocument/2006/customXml" ds:itemID="{A1A1D763-68B9-494D-8978-F95C4E39E75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Gutachtenstatistik - Rohdaten</vt:lpstr>
      <vt:lpstr>Erläuterung</vt:lpstr>
      <vt:lpstr>AP Erw</vt:lpstr>
      <vt:lpstr>AP KiJu</vt:lpstr>
      <vt:lpstr>ST Erw</vt:lpstr>
      <vt:lpstr>ST KiJu</vt:lpstr>
      <vt:lpstr>TP Erw</vt:lpstr>
      <vt:lpstr>TP KiJu</vt:lpstr>
      <vt:lpstr>VT Erw</vt:lpstr>
      <vt:lpstr>VT KiJu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Gutachtertätigkeit: Vorlage Statistiktabelle</dc:title>
  <dc:creator>Becker, Manuel (KBV)</dc:creator>
  <cp:keywords/>
  <cp:lastModifiedBy>Becker, Manuel (KBV)</cp:lastModifiedBy>
  <cp:lastPrinted>2022-08-24T17:27:54Z</cp:lastPrinted>
  <dcterms:created xsi:type="dcterms:W3CDTF">2017-08-21T16:06:31Z</dcterms:created>
  <dcterms:modified xsi:type="dcterms:W3CDTF">2024-07-12T07:23:22Z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lassifizierung">
    <vt:lpwstr>Extern-Vertraulich</vt:lpwstr>
  </property>
  <property fmtid="{D5CDD505-2E9C-101B-9397-08002B2CF9AE}" pid="3" name="Klassifizierungs-Id">
    <vt:lpwstr>9BA217E89CFD49ABA5B02114618634AD</vt:lpwstr>
  </property>
  <property fmtid="{D5CDD505-2E9C-101B-9397-08002B2CF9AE}" pid="4" name="Klassifizierungs-Datum">
    <vt:lpwstr>07/08/2024 11:13:50</vt:lpwstr>
  </property>
  <property fmtid="{D5CDD505-2E9C-101B-9397-08002B2CF9AE}" pid="5" name="NovaPath-SeverityName">
    <vt:lpwstr>Hoch</vt:lpwstr>
  </property>
  <property fmtid="{D5CDD505-2E9C-101B-9397-08002B2CF9AE}" pid="6" name="NovaPath-SeverityLevel">
    <vt:lpwstr>3000</vt:lpwstr>
  </property>
  <property fmtid="{D5CDD505-2E9C-101B-9397-08002B2CF9AE}" pid="7" name="Dokumenten-ID">
    <vt:lpwstr>R6ERDTU47Z8O7PEC33WG1XGRHO</vt:lpwstr>
  </property>
  <property fmtid="{D5CDD505-2E9C-101B-9397-08002B2CF9AE}" pid="8" name="NovaPath-Version">
    <vt:lpwstr>6.8.5.15993</vt:lpwstr>
  </property>
  <property fmtid="{D5CDD505-2E9C-101B-9397-08002B2CF9AE}" pid="9" name="KBV-Dokumentart">
    <vt:lpwstr>7;#Veröffentlichung|8910a6ef-ed27-45f8-a9f8-506037a20563</vt:lpwstr>
  </property>
  <property fmtid="{D5CDD505-2E9C-101B-9397-08002B2CF9AE}" pid="10" name="KBV-Autor">
    <vt:lpwstr>9;#Kassenärztliche Bundesvereinigung (KBV)|b5d5ddec-5cdb-4b65-a16a-fefc65dbfb2c</vt:lpwstr>
  </property>
  <property fmtid="{D5CDD505-2E9C-101B-9397-08002B2CF9AE}" pid="11" name="ContentTypeId">
    <vt:lpwstr>0x0101005D5051F0A3B8934BA826E0C23E258EED00E3709EA11653FC4CA9570A1FB0AB2F1B</vt:lpwstr>
  </property>
</Properties>
</file>